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trlProps/ctrlProp1.xml" ContentType="application/vnd.ms-excel.controlproperties+xml"/>
  <Override PartName="/xl/ctrlProps/ctrlProp2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01 BEVOELKERUNG\Bevölkerung - Strukturerhebung\2022\"/>
    </mc:Choice>
  </mc:AlternateContent>
  <workbookProtection lockStructure="1"/>
  <bookViews>
    <workbookView xWindow="-120" yWindow="-120" windowWidth="29040" windowHeight="15720"/>
  </bookViews>
  <sheets>
    <sheet name="Kantone" sheetId="28" r:id="rId1"/>
    <sheet name="Graubünden" sheetId="27" r:id="rId2"/>
    <sheet name="Uebersetzungen" sheetId="29" state="hidden" r:id="rId3"/>
  </sheets>
  <definedNames>
    <definedName name="_xlnm.Print_Area" localSheetId="1">Graubünden!$A$1:$Q$56</definedName>
    <definedName name="_xlnm.Print_Area" localSheetId="0">Kantone!$A$1:$P$49</definedName>
  </definedNames>
  <calcPr calcId="162913"/>
</workbook>
</file>

<file path=xl/calcChain.xml><?xml version="1.0" encoding="utf-8"?>
<calcChain xmlns="http://schemas.openxmlformats.org/spreadsheetml/2006/main">
  <c r="A27" i="27" l="1"/>
  <c r="B27" i="27"/>
  <c r="B28" i="27"/>
  <c r="B29" i="27"/>
  <c r="B30" i="27"/>
  <c r="B31" i="27"/>
  <c r="A32" i="27"/>
  <c r="B32" i="27"/>
  <c r="B33" i="27"/>
  <c r="B34" i="27"/>
  <c r="A35" i="27"/>
  <c r="B35" i="27"/>
  <c r="B36" i="27"/>
  <c r="B37" i="27"/>
  <c r="B38" i="27"/>
  <c r="B39" i="27"/>
  <c r="B40" i="27"/>
  <c r="B41" i="27"/>
  <c r="B42" i="27"/>
  <c r="B43" i="27"/>
  <c r="B44" i="27"/>
  <c r="B45" i="27"/>
  <c r="A46" i="27"/>
  <c r="B46" i="27"/>
  <c r="B47" i="27"/>
  <c r="B48" i="27"/>
  <c r="O13" i="27" l="1"/>
  <c r="M13" i="27"/>
  <c r="K13" i="27"/>
  <c r="I13" i="27"/>
  <c r="G13" i="27"/>
  <c r="C13" i="27"/>
  <c r="B26" i="27" l="1"/>
  <c r="B25" i="27"/>
  <c r="B24" i="27"/>
  <c r="B23" i="27"/>
  <c r="L14" i="27"/>
  <c r="K14" i="27"/>
  <c r="J14" i="27"/>
  <c r="I14" i="27"/>
  <c r="H14" i="27"/>
  <c r="G14" i="27"/>
  <c r="N13" i="28" l="1"/>
  <c r="L13" i="28"/>
  <c r="J13" i="28"/>
  <c r="H13" i="28"/>
  <c r="F13" i="28"/>
  <c r="D13" i="28"/>
  <c r="B13" i="28"/>
  <c r="I14" i="28"/>
  <c r="H14" i="28"/>
  <c r="G14" i="28"/>
  <c r="F14" i="28"/>
  <c r="E14" i="28"/>
  <c r="D14" i="28"/>
  <c r="B21" i="27" l="1"/>
  <c r="P14" i="27"/>
  <c r="O14" i="27"/>
  <c r="N14" i="27"/>
  <c r="M14" i="27"/>
  <c r="F14" i="27"/>
  <c r="E14" i="27"/>
  <c r="E13" i="27"/>
  <c r="O14" i="28" l="1"/>
  <c r="N14" i="28"/>
  <c r="M14" i="28"/>
  <c r="L14" i="28"/>
  <c r="K14" i="28"/>
  <c r="J14" i="28"/>
  <c r="A53" i="27" l="1"/>
  <c r="A52" i="27"/>
  <c r="A51" i="27"/>
  <c r="A50" i="27"/>
  <c r="A46" i="28"/>
  <c r="A45" i="28"/>
  <c r="A44" i="28"/>
  <c r="D14" i="27"/>
  <c r="C14" i="27"/>
  <c r="A10" i="27"/>
  <c r="A9" i="27"/>
  <c r="A9" i="28"/>
  <c r="A7" i="27"/>
  <c r="A7" i="28"/>
  <c r="A56" i="27"/>
  <c r="A55" i="27"/>
  <c r="B22" i="27"/>
  <c r="B20" i="27"/>
  <c r="B19" i="27"/>
  <c r="B18" i="27"/>
  <c r="B16" i="27"/>
  <c r="B17" i="27"/>
  <c r="A16" i="27"/>
  <c r="A22" i="27"/>
  <c r="A18" i="27"/>
  <c r="A15" i="27"/>
  <c r="C14" i="28"/>
  <c r="B14" i="28"/>
  <c r="A49" i="28" l="1"/>
  <c r="A48" i="28"/>
  <c r="A43" i="28"/>
  <c r="A41" i="28"/>
  <c r="A40" i="28"/>
  <c r="A39" i="28"/>
  <c r="A38" i="28"/>
  <c r="A37" i="28"/>
  <c r="A36" i="28"/>
  <c r="A35" i="28"/>
  <c r="A34" i="28"/>
  <c r="A33" i="28"/>
  <c r="A32" i="28"/>
  <c r="A31" i="28"/>
  <c r="A30" i="28"/>
  <c r="A29" i="28"/>
  <c r="A28" i="28"/>
  <c r="A27" i="28"/>
  <c r="A26" i="28"/>
  <c r="A25" i="28"/>
  <c r="A24" i="28"/>
  <c r="A23" i="28"/>
  <c r="A22" i="28"/>
  <c r="A21" i="28"/>
  <c r="A20" i="28"/>
  <c r="A19" i="28"/>
  <c r="A18" i="28"/>
  <c r="A17" i="28"/>
  <c r="A16" i="28"/>
  <c r="A15" i="28"/>
  <c r="A10" i="28"/>
</calcChain>
</file>

<file path=xl/sharedStrings.xml><?xml version="1.0" encoding="utf-8"?>
<sst xmlns="http://schemas.openxmlformats.org/spreadsheetml/2006/main" count="461" uniqueCount="341">
  <si>
    <t>Total</t>
  </si>
  <si>
    <t>Anzahl Personen</t>
  </si>
  <si>
    <t>Zürich</t>
  </si>
  <si>
    <t>Luzern</t>
  </si>
  <si>
    <t>Uri</t>
  </si>
  <si>
    <t>Schwyz</t>
  </si>
  <si>
    <t>Obwalden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</si>
  <si>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</si>
  <si>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</si>
  <si>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</si>
  <si>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</si>
  <si>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</si>
  <si>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</si>
  <si>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</si>
  <si>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Appenzell Ausserrhoden</t>
  </si>
  <si>
    <t>Appenzell Innerrhoden</t>
  </si>
  <si>
    <t>St. Gallen</t>
  </si>
  <si>
    <t>Aargau</t>
  </si>
  <si>
    <t>Thurgau</t>
  </si>
  <si>
    <t>Jura</t>
  </si>
  <si>
    <t>(): Extrapolation aufgrund von 49 oder weniger Beobachtungen. Die Resultate sind mit grosser Vorsicht zu interpretieren.</t>
  </si>
  <si>
    <t>X: Extrapolation aufgrund von 4 oder weniger Beobachtungen. Die Resultate werden aus Gründen des Datenschutzes nicht publiziert.</t>
  </si>
  <si>
    <t>Die Grundgesamtheit der Strukturerhebung enthält alle Personen der ständigen Wohnbevölkerung ab vollendetem 15. Altersjahr, die in Privathaushalten leben.</t>
  </si>
  <si>
    <t>Aus der Grundgesamtheit ausgeschlossen wurden neben den Personen, die in Kollektivhaushalten leben, auch Diplomaten, internationale Funktionäre und deren Angehörige.</t>
  </si>
  <si>
    <t>Geschlecht</t>
  </si>
  <si>
    <t>Männer</t>
  </si>
  <si>
    <t>Frauen</t>
  </si>
  <si>
    <t>Alter</t>
  </si>
  <si>
    <t>Arbeitsmarktstatus</t>
  </si>
  <si>
    <t>Erwerbstätige</t>
  </si>
  <si>
    <t>Erwerbslose</t>
  </si>
  <si>
    <t>Nichterwerbspersonen</t>
  </si>
  <si>
    <t>Sozioprofessionelle Kategorien</t>
  </si>
  <si>
    <t>Oberstes Management</t>
  </si>
  <si>
    <t>Freie und gleichgestellte Berufe</t>
  </si>
  <si>
    <t>Andere Selbstständige</t>
  </si>
  <si>
    <t>Akademische Berufe und oberes Kader</t>
  </si>
  <si>
    <t>Intermediäre Berufe</t>
  </si>
  <si>
    <t>Qualifizierte nichtmanuelle Berufe</t>
  </si>
  <si>
    <t>Qualifizierte manuelle Berufe</t>
  </si>
  <si>
    <t>Ungelernte Angestellte und Arbeiter</t>
  </si>
  <si>
    <t>Lernende in dualer beruflicher Grundbildung (Lehrlinge)</t>
  </si>
  <si>
    <t>Nicht zuteilbare Erwerbstätige (fehlende oder unklare Basisdaten oder unplausible Kombination)</t>
  </si>
  <si>
    <t>Erwerbslose und Nichterwerbspersonen</t>
  </si>
  <si>
    <t>Höchste abgeschlossene Ausbildung</t>
  </si>
  <si>
    <t>Sekundarstufe II</t>
  </si>
  <si>
    <t>Tertiärstufe</t>
  </si>
  <si>
    <t>Quelle: BFS (Strukturerhebung)</t>
  </si>
  <si>
    <t>Bern</t>
  </si>
  <si>
    <t>Freiburg</t>
  </si>
  <si>
    <t>Graubünden</t>
  </si>
  <si>
    <t>Wallis</t>
  </si>
  <si>
    <t>Tessin</t>
  </si>
  <si>
    <t>Waadt</t>
  </si>
  <si>
    <t>Neuenburg</t>
  </si>
  <si>
    <t>Genf</t>
  </si>
  <si>
    <t>Tabelle</t>
  </si>
  <si>
    <t>Code</t>
  </si>
  <si>
    <t>DE</t>
  </si>
  <si>
    <t>RM</t>
  </si>
  <si>
    <t>IT</t>
  </si>
  <si>
    <t>Sprache</t>
  </si>
  <si>
    <t>T1</t>
  </si>
  <si>
    <t>&lt;Fachbereich&gt;</t>
  </si>
  <si>
    <t>Daten &amp; Statistik</t>
  </si>
  <si>
    <t>Datas &amp; Statistica</t>
  </si>
  <si>
    <t>Dati &amp; Statistica</t>
  </si>
  <si>
    <t>&lt;Titel&gt;</t>
  </si>
  <si>
    <t>&lt;SpaltenTitel_1&gt;</t>
  </si>
  <si>
    <t>&lt;SpaltenTitel_2&gt;</t>
  </si>
  <si>
    <t>&lt;SpaltenTitel_3&gt;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</si>
  <si>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</si>
  <si>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</si>
  <si>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</si>
  <si>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</si>
  <si>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</si>
  <si>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</si>
  <si>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&lt;Zeilentitel_7&gt;</t>
  </si>
  <si>
    <t>&lt;Zeilentitel_8&gt;</t>
  </si>
  <si>
    <t>&lt;Legende_1&gt;</t>
  </si>
  <si>
    <t>&lt;Legende_2&gt;</t>
  </si>
  <si>
    <t>&lt;Legende_3&gt;</t>
  </si>
  <si>
    <t>&lt;Legende_4&gt;</t>
  </si>
  <si>
    <t>&lt;Aktualisierung&gt;</t>
  </si>
  <si>
    <t>&lt;UTitel&gt;</t>
  </si>
  <si>
    <t>&lt;Zeilentitel_9&gt;</t>
  </si>
  <si>
    <t>&lt;Zeilentitel_10&gt;</t>
  </si>
  <si>
    <t>&lt;Zeilentitel_11&gt;</t>
  </si>
  <si>
    <t>&lt;Zeilentitel_12&gt;</t>
  </si>
  <si>
    <t>&lt;Zeilentitel_13&gt;</t>
  </si>
  <si>
    <t>&lt;Zeilentitel_14&gt;</t>
  </si>
  <si>
    <t>&lt;Zeilentitel_15&gt;</t>
  </si>
  <si>
    <t>&lt;Zeilentitel_16&gt;</t>
  </si>
  <si>
    <t>&lt;Zeilentitel_17&gt;</t>
  </si>
  <si>
    <t>&lt;Zeilentitel_18&gt;</t>
  </si>
  <si>
    <t>&lt;Zeilentitel_19&gt;</t>
  </si>
  <si>
    <t>&lt;Zeilentitel_20&gt;</t>
  </si>
  <si>
    <t>&lt;Zeilentitel_21&gt;</t>
  </si>
  <si>
    <t>&lt;Zeilentitel_22&gt;</t>
  </si>
  <si>
    <t>&lt;Zeilentitel_23&gt;</t>
  </si>
  <si>
    <t>&lt;Zeilentitel_24&gt;</t>
  </si>
  <si>
    <t>&lt;Zeilentitel_25&gt;</t>
  </si>
  <si>
    <t>&lt;Zeilentitel_26&gt;</t>
  </si>
  <si>
    <t>&lt;Zeilentitel_27&gt;</t>
  </si>
  <si>
    <t>&lt;Quelle_1&gt;</t>
  </si>
  <si>
    <t>T1-2</t>
  </si>
  <si>
    <t>T2</t>
  </si>
  <si>
    <t>&lt;T2Titel&gt;</t>
  </si>
  <si>
    <t>&lt;T2UTitel&gt;</t>
  </si>
  <si>
    <t>&lt;T2Zeilentitel_1&gt;</t>
  </si>
  <si>
    <t>&lt;T2Zeilentitel_2&gt;</t>
  </si>
  <si>
    <t>&lt;T2Zeilentitel_3&gt;</t>
  </si>
  <si>
    <t>&lt;T2Zeilentitel_4&gt;</t>
  </si>
  <si>
    <t>&lt;T2Zeilentitel_5&gt;</t>
  </si>
  <si>
    <t>&lt;T2Zeilentitel_6&gt;</t>
  </si>
  <si>
    <t>&lt;T2Zeilentitel_7&gt;</t>
  </si>
  <si>
    <t>&lt;SpaltenTitel_1.1&gt;</t>
  </si>
  <si>
    <t>&lt;SpaltenTitel_1.2&gt;</t>
  </si>
  <si>
    <t>&lt;T2Zeilentitel_2.1&gt;</t>
  </si>
  <si>
    <t>&lt;T2Zeilentitel_2.2&gt;</t>
  </si>
  <si>
    <t>&lt;T2Zeilentitel_3.1&gt;</t>
  </si>
  <si>
    <t>&lt;T2Zeilentitel_3.2&gt;</t>
  </si>
  <si>
    <t>&lt;T2Zeilentitel_4.1&gt;</t>
  </si>
  <si>
    <t>&lt;T2Zeilentitel_4.2&gt;</t>
  </si>
  <si>
    <t>&lt;T2Zeilentitel_5.1&gt;</t>
  </si>
  <si>
    <t>&lt;T2Zeilentitel_5.2&gt;</t>
  </si>
  <si>
    <t>&lt;T2Zeilentitel_7.1&gt;</t>
  </si>
  <si>
    <t>&lt;T2Zeilentitel_7.2&gt;</t>
  </si>
  <si>
    <t>&lt;T2Zeilentitel_7.3&gt;</t>
  </si>
  <si>
    <t>&lt;T2Zeilentitel_8&gt;</t>
  </si>
  <si>
    <t>&lt;T2Zeilentitel_3.3&gt;</t>
  </si>
  <si>
    <t>&lt;T2Zeilentitel_3.4&gt;</t>
  </si>
  <si>
    <t>&lt;T2Zeilentitel_7.4&gt;</t>
  </si>
  <si>
    <t>&lt;T2Zeilentitel_7.5&gt;</t>
  </si>
  <si>
    <t>&lt;T2Zeilentitel_7.6&gt;</t>
  </si>
  <si>
    <t>&lt;T2Zeilentitel_7.7&gt;</t>
  </si>
  <si>
    <t>&lt;T2Zeilentitel_7.8&gt;</t>
  </si>
  <si>
    <t>&lt;T2Zeilentitel_7.9&gt;</t>
  </si>
  <si>
    <t>&lt;T2Zeilentitel_7.10&gt;</t>
  </si>
  <si>
    <t>&lt;T2Zeilentitel_7.11&gt;</t>
  </si>
  <si>
    <t>&lt;T2Zeilentitel_8.1&gt;</t>
  </si>
  <si>
    <t>&lt;T2Zeilentitel_8.2&gt;</t>
  </si>
  <si>
    <t>&lt;T2Zeilentitel_8.3&gt;</t>
  </si>
  <si>
    <t>&lt;T2Aktualisierung&gt;</t>
  </si>
  <si>
    <t>Totale</t>
  </si>
  <si>
    <t>Numero di persone</t>
  </si>
  <si>
    <t>Fonte: UST - Rilevazione strutturale (RS)</t>
  </si>
  <si>
    <t>Zurigo</t>
  </si>
  <si>
    <t>Berna</t>
  </si>
  <si>
    <t>Lucerna</t>
  </si>
  <si>
    <t>Svitto</t>
  </si>
  <si>
    <t>Obvaldo</t>
  </si>
  <si>
    <t>Nidvaldo</t>
  </si>
  <si>
    <t>Glarona</t>
  </si>
  <si>
    <t>Zugo</t>
  </si>
  <si>
    <t>Friborgo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</si>
  <si>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</si>
  <si>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</si>
  <si>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</si>
  <si>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</si>
  <si>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</si>
  <si>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</si>
  <si>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</si>
  <si>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</si>
  <si>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</si>
  <si>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</si>
  <si>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Ticino</t>
  </si>
  <si>
    <t>Vaud</t>
  </si>
  <si>
    <t>Vallese</t>
  </si>
  <si>
    <t>Neuchâtel</t>
  </si>
  <si>
    <t>Ginevra</t>
  </si>
  <si>
    <t>Giura</t>
  </si>
  <si>
    <t>Sesso</t>
  </si>
  <si>
    <t>Età</t>
  </si>
  <si>
    <t>Uomini</t>
  </si>
  <si>
    <t>Donne</t>
  </si>
  <si>
    <t>Occupati</t>
  </si>
  <si>
    <t>Disoccupati</t>
  </si>
  <si>
    <t>Persone senza attività professionale</t>
  </si>
  <si>
    <t>Management superiore</t>
  </si>
  <si>
    <t>Professioni liberali ed equiparate</t>
  </si>
  <si>
    <t>Altri indipendenti</t>
  </si>
  <si>
    <t>Professioni accademiche e quadri superiori</t>
  </si>
  <si>
    <t>Professioni intermediarie</t>
  </si>
  <si>
    <t>Professioni qualificate non manuali</t>
  </si>
  <si>
    <t>Professioni qualificate manuali</t>
  </si>
  <si>
    <t>Impiegati e operai non qualificati</t>
  </si>
  <si>
    <t>Persone in formazione professionale di base duale (apprendisti)</t>
  </si>
  <si>
    <t>Occupati non attribuibili (dati di base mancanti)</t>
  </si>
  <si>
    <t>Disoccupati e persone senza attività professionale</t>
  </si>
  <si>
    <t>Senza formazione postobbligatoria</t>
  </si>
  <si>
    <t>Livello secondario II</t>
  </si>
  <si>
    <t>Livello terziario</t>
  </si>
  <si>
    <t>Sviz</t>
  </si>
  <si>
    <t>Soloturn</t>
  </si>
  <si>
    <t>Friburg</t>
  </si>
  <si>
    <t>Glaruna</t>
  </si>
  <si>
    <t>Schaffusa</t>
  </si>
  <si>
    <t>Sutsilvania</t>
  </si>
  <si>
    <t>Sursilvania</t>
  </si>
  <si>
    <t>Turitg</t>
  </si>
  <si>
    <t>Basilea-Citad</t>
  </si>
  <si>
    <t>Basilea-Champagna</t>
  </si>
  <si>
    <t>Appenzell Dadora</t>
  </si>
  <si>
    <t>Appenzell Dadens</t>
  </si>
  <si>
    <t>Son Gagl</t>
  </si>
  <si>
    <t>Genevra</t>
  </si>
  <si>
    <t>Vallais</t>
  </si>
  <si>
    <t>Vad</t>
  </si>
  <si>
    <t>Grischun</t>
  </si>
  <si>
    <t>Umens</t>
  </si>
  <si>
    <t>Dunnas</t>
  </si>
  <si>
    <t>Gender</t>
  </si>
  <si>
    <t>Vegliadetgna</t>
  </si>
  <si>
    <t>Status dal martgà da lavur</t>
  </si>
  <si>
    <t>Categorias socioprofessiunalas</t>
  </si>
  <si>
    <t>La pli auta scolaziun terminada</t>
  </si>
  <si>
    <t>Professiuns libras ed egualas</t>
  </si>
  <si>
    <t>Autras persunas independentas</t>
  </si>
  <si>
    <t>Professiuns academicas e cader superiur</t>
  </si>
  <si>
    <t>professiuns intermediaras</t>
  </si>
  <si>
    <t>Professiuns betg manualas qualifitgadas</t>
  </si>
  <si>
    <t>Professiuns manualas qualifitgadas</t>
  </si>
  <si>
    <t>Emploiads e lavurants betg emprendids</t>
  </si>
  <si>
    <t>Emprendistas ed emprendists en ina furmaziun fundamentala professiunala dubla (emprendists)</t>
  </si>
  <si>
    <t>Persunas cun activitad da gudogn che n'èn betg attribuiblas (datas da basa mancantas u betg cleras u ina cumbinaziun inclausibla)</t>
  </si>
  <si>
    <t>Persunas senza activitad da gudogn e persunas senza activitad da gudogn</t>
  </si>
  <si>
    <t>Stgalim secundar II</t>
  </si>
  <si>
    <t>Stgalim terziar</t>
  </si>
  <si>
    <t>Management suprem</t>
  </si>
  <si>
    <t>Persunas senza activitad da gudogn</t>
  </si>
  <si>
    <t>Persunas cun activitad da gudogn</t>
  </si>
  <si>
    <t>Dumber da persunas</t>
  </si>
  <si>
    <t>Funtauna: UST (enquista da structura)</t>
  </si>
  <si>
    <t>X</t>
  </si>
  <si>
    <t>&lt;SpaltenTitel_4&gt;</t>
  </si>
  <si>
    <t>Staatsangehörigkeit</t>
  </si>
  <si>
    <t>Naziunalitad</t>
  </si>
  <si>
    <t>Cittadinanza</t>
  </si>
  <si>
    <t>Status sul mercato del lavoro</t>
  </si>
  <si>
    <t>Categorie socioprofessionali</t>
  </si>
  <si>
    <t>Istruzione di massimo livello</t>
  </si>
  <si>
    <t>15-24</t>
  </si>
  <si>
    <t>65 und älter</t>
  </si>
  <si>
    <t>65 e dapli</t>
  </si>
  <si>
    <t>65 e più</t>
  </si>
  <si>
    <t>Svizzera</t>
  </si>
  <si>
    <t>Svizra</t>
  </si>
  <si>
    <t>Schweiz</t>
  </si>
  <si>
    <t>&lt;T2Zeilentitel_5.3&gt;</t>
  </si>
  <si>
    <t>Ohne nachobligatorische Aubildung</t>
  </si>
  <si>
    <t>Senza furmaziun postobligatorica</t>
  </si>
  <si>
    <t>&lt;SpaltenTitel_5&gt;</t>
  </si>
  <si>
    <t>&lt;SpaltenTitel_6&gt;</t>
  </si>
  <si>
    <t>&lt;SpaltenTitel_7&gt;</t>
  </si>
  <si>
    <t>&lt;SpaltenTitel_8&gt;</t>
  </si>
  <si>
    <t>Ständige Wohnbevölkerung nach Hauptsprachen und Kanton</t>
  </si>
  <si>
    <t>Ständige Wohnbevölkerung ab 15 Jahren</t>
  </si>
  <si>
    <t>Populaziun residenta permanenta a partir da 15 onns</t>
  </si>
  <si>
    <t>Popolazione residente permanente di 15 anni e più</t>
  </si>
  <si>
    <t>Deutsch (oder Schweizerdeutsch)</t>
  </si>
  <si>
    <t>Französisch (oder Patois Romand)</t>
  </si>
  <si>
    <t>Italienisch (oder Tessiner/Bündner-italienischer Dialekt)</t>
  </si>
  <si>
    <t>Rätoromanisch</t>
  </si>
  <si>
    <t>Englisch</t>
  </si>
  <si>
    <t>Andere Sprache/n</t>
  </si>
  <si>
    <t>Tedesco (o svizzero tedesco)</t>
  </si>
  <si>
    <t>Romanico</t>
  </si>
  <si>
    <t>Inglese</t>
  </si>
  <si>
    <t>Altra lingua</t>
  </si>
  <si>
    <t>Francese (o patois romando)</t>
  </si>
  <si>
    <t>Italiano (o dialetto ticinese/grigionese)</t>
  </si>
  <si>
    <t>Tudestg (u Tudestg svizzer)</t>
  </si>
  <si>
    <t>Franzos (u Patois Romand)</t>
  </si>
  <si>
    <t>Talian (u dialect tessinais/grischun)</t>
  </si>
  <si>
    <t>Autra lingua</t>
  </si>
  <si>
    <t>Englais</t>
  </si>
  <si>
    <t>Rumantsch</t>
  </si>
  <si>
    <t>Populaziun residenta permanenta tenor linguas principalas e tenor il chantun</t>
  </si>
  <si>
    <t>Popolazione residente permanente per lingua principale e cantone</t>
  </si>
  <si>
    <t>Vertrauens- intervall: 
± (in %)</t>
  </si>
  <si>
    <t>Interval da confidenza: 
± (en %)</t>
  </si>
  <si>
    <t>Intervallo di confidenza: 
± (in %)</t>
  </si>
  <si>
    <t>Ständige Wohnbevölkerung nach Hauptsprachen in Graubünden</t>
  </si>
  <si>
    <t>Populaziun residenta permanenta tenor linguas principalas en il Grischun</t>
  </si>
  <si>
    <t>Popolazione residente permanente per lingua principale nei Grigioni</t>
  </si>
  <si>
    <t>Migrationsstatus</t>
  </si>
  <si>
    <t>Status migratorio</t>
  </si>
  <si>
    <t>Status da migraziun</t>
  </si>
  <si>
    <t>45-64</t>
  </si>
  <si>
    <t>25-44</t>
  </si>
  <si>
    <t>&lt;T2Zeilentitel_4.3&gt;</t>
  </si>
  <si>
    <t>&lt;T2Zeilentitel_4.4&gt;</t>
  </si>
  <si>
    <t>EU und EFTA</t>
  </si>
  <si>
    <t>Anderer europäischer Staat</t>
  </si>
  <si>
    <t>Andere Staaten</t>
  </si>
  <si>
    <t>Staatsangehörigkeit unbekannt</t>
  </si>
  <si>
    <t>&lt;T2Zeilentitel_4.5&gt;</t>
  </si>
  <si>
    <t>UE ed AECL</t>
  </si>
  <si>
    <t>In auter pajais europeic</t>
  </si>
  <si>
    <t>Auters stadis</t>
  </si>
  <si>
    <t>Naziunalitad n'è betg enconuschenta</t>
  </si>
  <si>
    <t>UE e EFTA</t>
  </si>
  <si>
    <t>Altro paese europeo</t>
  </si>
  <si>
    <t>Altri paesi</t>
  </si>
  <si>
    <t>Nazionalità sconosciuta</t>
  </si>
  <si>
    <t>&lt;Legende_5&gt;</t>
  </si>
  <si>
    <t>Die Befragten konnten mehrere Hauptsprachen nennen.</t>
  </si>
  <si>
    <t>Gli intervistati potevano indicare più lingue principali.</t>
  </si>
  <si>
    <t>Las persunas interrogadas han pudì inditgar pliras linguas principalas.</t>
  </si>
  <si>
    <t>&lt;T2Zeilentitel_6.3&gt;</t>
  </si>
  <si>
    <t>&lt;T2Zeilentitel_6.2&gt;</t>
  </si>
  <si>
    <t>&lt;T2Zeilentitel_6.1&gt;</t>
  </si>
  <si>
    <t>&lt;T2Zeilentitel_5.4&gt;</t>
  </si>
  <si>
    <t>&lt;T2Zeilentitel_5.5&gt;</t>
  </si>
  <si>
    <t>Schweizer/innen ohne Migrationshintergrund</t>
  </si>
  <si>
    <t>Schweizer/innen mit Migrationshintergrund</t>
  </si>
  <si>
    <t>Ausländer/innen der ersten Generation</t>
  </si>
  <si>
    <t>Ausländer/innen der zweiten und höheren Generation</t>
  </si>
  <si>
    <t>Migrationshintergrund unbekannt</t>
  </si>
  <si>
    <t>Letztmals aktualisiert am: 18.03.2024</t>
  </si>
  <si>
    <t>Ultima actualisaziun: 18.03.2024</t>
  </si>
  <si>
    <t>Ulimo aggiornamento: 18.03.2024</t>
  </si>
  <si>
    <t>Svizzers senza retroterra da migraziun</t>
  </si>
  <si>
    <t>Svizzeri/e senza un passato migratorio</t>
  </si>
  <si>
    <t>Svizzers cun ina migraziun</t>
  </si>
  <si>
    <t>Svizzeri/e con un passato migratorio</t>
  </si>
  <si>
    <t>Persunas estras da l'emprima generaziun</t>
  </si>
  <si>
    <t>Stranieri/e di prima generazione</t>
  </si>
  <si>
    <t>Persunas estras da la segunda generaziun e da l'emprima</t>
  </si>
  <si>
    <t>Stranieri/e di seconda generazione e più</t>
  </si>
  <si>
    <t>La migraziun n'è betg enconuschenta</t>
  </si>
  <si>
    <t>Passato migratorio sconosciuto</t>
  </si>
  <si>
    <t>(): Extrapolaziun sin basa da 49 u damain observaziuns. Ils resultats ston vegnir interpretads cun gronda precauziun.</t>
  </si>
  <si>
    <t>(): Estrapolazione basata su 49 osservazioni o meno. I risultati devono essere interpretati con molta cautela.</t>
  </si>
  <si>
    <t>X: Extrapolaziun pervia da 4 u damain observaziuns. Per motivs da la protecziun da datas na vegnan ils resultats betg publitgads.</t>
  </si>
  <si>
    <t>X: Estrapolazione basata su 4 o meno osservazioni. I risultati non sono pubblicati per motivi di protezione dei dati.</t>
  </si>
  <si>
    <t>La survista da basa da l'enquista da structura cumpiglia tut las persunas da la populaziun residenta permanenta a partir da 15 onns che vivan en chasadas privatas.</t>
  </si>
  <si>
    <t>La popolazione dell'indagine sulla struttura comprende tutte le persone della popolazione residente permanente di età pari o superiore ai 15 anni che vivono in famiglie.</t>
  </si>
  <si>
    <t>Exclus da la totalitad fundamentala èn vegnids ultra da las persunas che vivan en chasadas collectivas er diplomats, funcziunaris internaziunals e lur confamigliars.</t>
  </si>
  <si>
    <t>Oltre alle persone che vivono in economie domestiche collettive, sono stati esclusi i diplomatici, i funzionari internazionali e i loro familiari.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</si>
</sst>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_ * #,##0_ ;_ * \-#,##0_ ;_ * &quot;-&quot;??_ ;_ @_ "/>
    <numFmt numFmtId="166" formatCode="_-* #,##0.00\ _€_-;\-* #,##0.00\ _€_-;_-* &quot;-&quot;??\ _€_-;_-@_-"/>
    <numFmt numFmtId="167" formatCode="0.0"/>
    <numFmt numFmtId="168" formatCode="\(0.0\)"/>
    <numFmt numFmtId="169" formatCode="#\'##0"/>
    <numFmt numFmtId="170" formatCode="* #,###"/>
    <numFmt numFmtId="171" formatCode="\(0\)"/>
  </numFmts>
  <fonts count="1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name val="Arial"/>
      <family val="2"/>
    </font>
    <font>
      <sz val="14"/>
      <color rgb="FFFF0000"/>
      <name val="Arial"/>
      <family val="2"/>
    </font>
    <font>
      <b/>
      <sz val="10"/>
      <color indexed="8"/>
      <name val="Arial Narrow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sz val="8"/>
      <color rgb="FF000000"/>
      <name val="Segoe UI"/>
      <family val="2"/>
    </font>
    <font>
      <sz val="10"/>
      <color rgb="FF4C4C4C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" fillId="0" borderId="0"/>
    <xf numFmtId="0" fontId="5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</cellStyleXfs>
  <cellXfs count="112">
    <xf numFmtId="0" fontId="0" fillId="0" borderId="0" xfId="0"/>
    <xf numFmtId="0" fontId="3" fillId="4" borderId="0" xfId="0" applyFont="1" applyFill="1"/>
    <xf numFmtId="0" fontId="8" fillId="4" borderId="0" xfId="0" applyFont="1" applyFill="1"/>
    <xf numFmtId="0" fontId="9" fillId="3" borderId="0" xfId="0" applyFont="1" applyFill="1" applyAlignment="1">
      <alignment horizontal="left" vertical="top"/>
    </xf>
    <xf numFmtId="0" fontId="10" fillId="3" borderId="0" xfId="0" applyFont="1" applyFill="1" applyAlignment="1">
      <alignment horizontal="left" vertical="top"/>
    </xf>
    <xf numFmtId="165" fontId="10" fillId="3" borderId="0" xfId="1" applyNumberFormat="1" applyFont="1" applyFill="1" applyBorder="1" applyAlignment="1" applyProtection="1">
      <alignment horizontal="left" vertical="top"/>
    </xf>
    <xf numFmtId="0" fontId="2" fillId="0" borderId="0" xfId="0" applyFont="1"/>
    <xf numFmtId="0" fontId="12" fillId="3" borderId="0" xfId="0" applyFont="1" applyFill="1" applyAlignment="1">
      <alignment horizontal="left" vertical="center"/>
    </xf>
    <xf numFmtId="0" fontId="2" fillId="2" borderId="0" xfId="0" applyFont="1" applyFill="1"/>
    <xf numFmtId="3" fontId="2" fillId="0" borderId="0" xfId="0" applyNumberFormat="1" applyFont="1"/>
    <xf numFmtId="169" fontId="2" fillId="0" borderId="0" xfId="0" applyNumberFormat="1" applyFont="1"/>
    <xf numFmtId="3" fontId="3" fillId="4" borderId="4" xfId="3" applyNumberFormat="1" applyFont="1" applyFill="1" applyBorder="1" applyAlignment="1" applyProtection="1">
      <alignment horizontal="right" vertical="center" wrapText="1"/>
    </xf>
    <xf numFmtId="171" fontId="3" fillId="4" borderId="4" xfId="3" applyNumberFormat="1" applyFont="1" applyFill="1" applyBorder="1" applyAlignment="1" applyProtection="1">
      <alignment horizontal="right" vertical="center" wrapText="1"/>
    </xf>
    <xf numFmtId="3" fontId="3" fillId="5" borderId="4" xfId="3" applyNumberFormat="1" applyFont="1" applyFill="1" applyBorder="1" applyAlignment="1" applyProtection="1">
      <alignment horizontal="right" vertical="center" wrapText="1"/>
    </xf>
    <xf numFmtId="0" fontId="0" fillId="4" borderId="0" xfId="0" applyFill="1"/>
    <xf numFmtId="0" fontId="15" fillId="4" borderId="0" xfId="0" applyFont="1" applyFill="1"/>
    <xf numFmtId="0" fontId="12" fillId="3" borderId="3" xfId="0" applyFont="1" applyFill="1" applyBorder="1" applyAlignment="1">
      <alignment horizontal="left" vertical="center"/>
    </xf>
    <xf numFmtId="3" fontId="3" fillId="4" borderId="8" xfId="3" applyNumberFormat="1" applyFont="1" applyFill="1" applyBorder="1" applyAlignment="1" applyProtection="1">
      <alignment horizontal="right" vertical="center" wrapText="1"/>
    </xf>
    <xf numFmtId="0" fontId="14" fillId="6" borderId="0" xfId="0" applyFont="1" applyFill="1" applyBorder="1" applyAlignment="1">
      <alignment horizontal="left" vertical="top" wrapText="1"/>
    </xf>
    <xf numFmtId="0" fontId="2" fillId="7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center" wrapText="1"/>
    </xf>
    <xf numFmtId="0" fontId="2" fillId="8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7" fillId="7" borderId="0" xfId="0" applyFont="1" applyFill="1" applyBorder="1" applyAlignment="1">
      <alignment horizontal="left" vertical="top" wrapText="1"/>
    </xf>
    <xf numFmtId="0" fontId="2" fillId="7" borderId="0" xfId="0" applyFont="1" applyFill="1" applyBorder="1" applyAlignment="1" applyProtection="1">
      <alignment horizontal="left" vertical="top" wrapText="1"/>
      <protection locked="0"/>
    </xf>
    <xf numFmtId="0" fontId="2" fillId="8" borderId="0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wrapText="1"/>
    </xf>
    <xf numFmtId="0" fontId="2" fillId="0" borderId="0" xfId="0" applyFont="1" applyBorder="1"/>
    <xf numFmtId="169" fontId="3" fillId="4" borderId="0" xfId="1" applyNumberFormat="1" applyFont="1" applyFill="1" applyBorder="1" applyAlignment="1" applyProtection="1">
      <alignment horizontal="right" vertical="center" wrapText="1"/>
    </xf>
    <xf numFmtId="167" fontId="3" fillId="4" borderId="0" xfId="1" applyNumberFormat="1" applyFont="1" applyFill="1" applyBorder="1" applyAlignment="1" applyProtection="1">
      <alignment horizontal="right" vertical="center" wrapText="1"/>
    </xf>
    <xf numFmtId="1" fontId="3" fillId="4" borderId="0" xfId="1" applyNumberFormat="1" applyFont="1" applyFill="1" applyBorder="1" applyAlignment="1" applyProtection="1">
      <alignment horizontal="right" vertical="center" wrapText="1"/>
    </xf>
    <xf numFmtId="0" fontId="13" fillId="3" borderId="19" xfId="0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left" vertical="center" wrapText="1"/>
    </xf>
    <xf numFmtId="0" fontId="2" fillId="0" borderId="20" xfId="0" applyFont="1" applyBorder="1"/>
    <xf numFmtId="0" fontId="13" fillId="3" borderId="9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top"/>
    </xf>
    <xf numFmtId="0" fontId="2" fillId="0" borderId="9" xfId="0" applyFont="1" applyBorder="1"/>
    <xf numFmtId="0" fontId="2" fillId="0" borderId="10" xfId="0" applyFont="1" applyBorder="1"/>
    <xf numFmtId="0" fontId="8" fillId="4" borderId="0" xfId="0" applyFont="1" applyFill="1" applyAlignment="1">
      <alignment horizontal="left" vertical="top" wrapText="1"/>
    </xf>
    <xf numFmtId="167" fontId="3" fillId="4" borderId="27" xfId="3" applyNumberFormat="1" applyFont="1" applyFill="1" applyBorder="1" applyAlignment="1" applyProtection="1">
      <alignment horizontal="right" vertical="center" wrapText="1"/>
    </xf>
    <xf numFmtId="0" fontId="12" fillId="3" borderId="0" xfId="0" applyNumberFormat="1" applyFont="1" applyFill="1" applyBorder="1" applyAlignment="1" applyProtection="1">
      <alignment horizontal="left" vertical="center"/>
    </xf>
    <xf numFmtId="3" fontId="3" fillId="4" borderId="31" xfId="3" applyNumberFormat="1" applyFont="1" applyFill="1" applyBorder="1" applyAlignment="1" applyProtection="1">
      <alignment horizontal="right" vertical="center" wrapText="1"/>
    </xf>
    <xf numFmtId="171" fontId="3" fillId="4" borderId="31" xfId="3" applyNumberFormat="1" applyFont="1" applyFill="1" applyBorder="1" applyAlignment="1" applyProtection="1">
      <alignment horizontal="right" vertical="center" wrapText="1"/>
    </xf>
    <xf numFmtId="0" fontId="8" fillId="4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3" fillId="3" borderId="12" xfId="0" applyFont="1" applyFill="1" applyBorder="1" applyAlignment="1">
      <alignment horizontal="left" vertical="center" wrapText="1"/>
    </xf>
    <xf numFmtId="0" fontId="12" fillId="3" borderId="21" xfId="0" applyFont="1" applyFill="1" applyBorder="1" applyAlignment="1">
      <alignment horizontal="left" vertical="center" wrapText="1"/>
    </xf>
    <xf numFmtId="3" fontId="3" fillId="5" borderId="21" xfId="3" applyNumberFormat="1" applyFont="1" applyFill="1" applyBorder="1" applyAlignment="1" applyProtection="1">
      <alignment horizontal="left" vertical="center" wrapText="1"/>
    </xf>
    <xf numFmtId="0" fontId="12" fillId="3" borderId="32" xfId="0" applyFont="1" applyFill="1" applyBorder="1" applyAlignment="1">
      <alignment horizontal="left" vertical="center" wrapText="1"/>
    </xf>
    <xf numFmtId="0" fontId="12" fillId="4" borderId="21" xfId="1" applyNumberFormat="1" applyFont="1" applyFill="1" applyBorder="1" applyAlignment="1" applyProtection="1">
      <alignment horizontal="right" vertical="top" wrapText="1"/>
    </xf>
    <xf numFmtId="0" fontId="12" fillId="4" borderId="36" xfId="1" applyNumberFormat="1" applyFont="1" applyFill="1" applyBorder="1" applyAlignment="1" applyProtection="1">
      <alignment horizontal="right" vertical="top" wrapText="1"/>
    </xf>
    <xf numFmtId="0" fontId="12" fillId="4" borderId="37" xfId="1" applyNumberFormat="1" applyFont="1" applyFill="1" applyBorder="1" applyAlignment="1" applyProtection="1">
      <alignment horizontal="right" vertical="top" wrapText="1"/>
    </xf>
    <xf numFmtId="0" fontId="12" fillId="4" borderId="38" xfId="1" applyNumberFormat="1" applyFont="1" applyFill="1" applyBorder="1" applyAlignment="1" applyProtection="1">
      <alignment horizontal="right" vertical="top" wrapText="1"/>
    </xf>
    <xf numFmtId="0" fontId="12" fillId="4" borderId="0" xfId="1" applyNumberFormat="1" applyFont="1" applyFill="1" applyBorder="1" applyAlignment="1" applyProtection="1">
      <alignment horizontal="right" vertical="top" wrapText="1"/>
    </xf>
    <xf numFmtId="0" fontId="12" fillId="4" borderId="39" xfId="1" applyNumberFormat="1" applyFont="1" applyFill="1" applyBorder="1" applyAlignment="1" applyProtection="1">
      <alignment horizontal="right" vertical="top" wrapText="1"/>
    </xf>
    <xf numFmtId="167" fontId="11" fillId="4" borderId="14" xfId="3" applyNumberFormat="1" applyFont="1" applyFill="1" applyBorder="1" applyAlignment="1" applyProtection="1">
      <alignment horizontal="right" vertical="center" wrapText="1"/>
    </xf>
    <xf numFmtId="167" fontId="3" fillId="4" borderId="35" xfId="3" applyNumberFormat="1" applyFont="1" applyFill="1" applyBorder="1" applyAlignment="1" applyProtection="1">
      <alignment horizontal="right" vertical="center" wrapText="1"/>
    </xf>
    <xf numFmtId="168" fontId="3" fillId="4" borderId="35" xfId="3" applyNumberFormat="1" applyFont="1" applyFill="1" applyBorder="1" applyAlignment="1" applyProtection="1">
      <alignment horizontal="right" vertical="center" wrapText="1"/>
    </xf>
    <xf numFmtId="167" fontId="3" fillId="4" borderId="41" xfId="3" applyNumberFormat="1" applyFont="1" applyFill="1" applyBorder="1" applyAlignment="1" applyProtection="1">
      <alignment horizontal="right" vertical="center" wrapText="1"/>
    </xf>
    <xf numFmtId="167" fontId="11" fillId="4" borderId="45" xfId="3" applyNumberFormat="1" applyFont="1" applyFill="1" applyBorder="1" applyAlignment="1" applyProtection="1">
      <alignment horizontal="right" vertical="center" wrapText="1"/>
    </xf>
    <xf numFmtId="167" fontId="3" fillId="4" borderId="44" xfId="3" applyNumberFormat="1" applyFont="1" applyFill="1" applyBorder="1" applyAlignment="1" applyProtection="1">
      <alignment horizontal="right" vertical="center" wrapText="1"/>
    </xf>
    <xf numFmtId="168" fontId="3" fillId="4" borderId="27" xfId="3" applyNumberFormat="1" applyFont="1" applyFill="1" applyBorder="1" applyAlignment="1" applyProtection="1">
      <alignment horizontal="right" vertical="center" wrapText="1"/>
    </xf>
    <xf numFmtId="168" fontId="3" fillId="4" borderId="44" xfId="3" applyNumberFormat="1" applyFont="1" applyFill="1" applyBorder="1" applyAlignment="1" applyProtection="1">
      <alignment horizontal="right" vertical="center" wrapText="1"/>
    </xf>
    <xf numFmtId="170" fontId="11" fillId="4" borderId="46" xfId="3" applyNumberFormat="1" applyFont="1" applyFill="1" applyBorder="1" applyAlignment="1" applyProtection="1">
      <alignment horizontal="right" vertical="center" wrapText="1"/>
    </xf>
    <xf numFmtId="3" fontId="3" fillId="4" borderId="47" xfId="3" applyNumberFormat="1" applyFont="1" applyFill="1" applyBorder="1" applyAlignment="1" applyProtection="1">
      <alignment horizontal="right" vertical="center" wrapText="1"/>
    </xf>
    <xf numFmtId="3" fontId="3" fillId="4" borderId="48" xfId="3" applyNumberFormat="1" applyFont="1" applyFill="1" applyBorder="1" applyAlignment="1" applyProtection="1">
      <alignment horizontal="right" vertical="center" wrapText="1"/>
    </xf>
    <xf numFmtId="170" fontId="11" fillId="4" borderId="37" xfId="3" applyNumberFormat="1" applyFont="1" applyFill="1" applyBorder="1" applyAlignment="1" applyProtection="1">
      <alignment horizontal="right" vertical="center" wrapText="1"/>
    </xf>
    <xf numFmtId="171" fontId="3" fillId="4" borderId="8" xfId="3" applyNumberFormat="1" applyFont="1" applyFill="1" applyBorder="1" applyAlignment="1" applyProtection="1">
      <alignment horizontal="right" vertical="center" wrapText="1"/>
    </xf>
    <xf numFmtId="3" fontId="3" fillId="5" borderId="47" xfId="3" applyNumberFormat="1" applyFont="1" applyFill="1" applyBorder="1" applyAlignment="1" applyProtection="1">
      <alignment horizontal="right" vertical="center" wrapText="1"/>
    </xf>
    <xf numFmtId="167" fontId="3" fillId="5" borderId="27" xfId="3" applyNumberFormat="1" applyFont="1" applyFill="1" applyBorder="1" applyAlignment="1" applyProtection="1">
      <alignment horizontal="right" vertical="center" wrapText="1"/>
    </xf>
    <xf numFmtId="167" fontId="3" fillId="5" borderId="35" xfId="3" applyNumberFormat="1" applyFont="1" applyFill="1" applyBorder="1" applyAlignment="1" applyProtection="1">
      <alignment horizontal="right" vertical="center" wrapText="1"/>
    </xf>
    <xf numFmtId="0" fontId="12" fillId="3" borderId="49" xfId="0" applyFont="1" applyFill="1" applyBorder="1" applyAlignment="1">
      <alignment horizontal="left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30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4" borderId="42" xfId="1" applyNumberFormat="1" applyFont="1" applyFill="1" applyBorder="1" applyAlignment="1" applyProtection="1">
      <alignment horizontal="right" vertical="top" wrapText="1"/>
    </xf>
    <xf numFmtId="0" fontId="12" fillId="4" borderId="33" xfId="1" applyNumberFormat="1" applyFont="1" applyFill="1" applyBorder="1" applyAlignment="1" applyProtection="1">
      <alignment horizontal="right" vertical="top" wrapText="1"/>
    </xf>
    <xf numFmtId="0" fontId="12" fillId="4" borderId="34" xfId="1" applyNumberFormat="1" applyFont="1" applyFill="1" applyBorder="1" applyAlignment="1" applyProtection="1">
      <alignment horizontal="right" vertical="top" wrapText="1"/>
    </xf>
    <xf numFmtId="0" fontId="12" fillId="4" borderId="43" xfId="1" applyNumberFormat="1" applyFont="1" applyFill="1" applyBorder="1" applyAlignment="1" applyProtection="1">
      <alignment horizontal="right" vertical="top" wrapText="1"/>
    </xf>
    <xf numFmtId="0" fontId="12" fillId="4" borderId="40" xfId="1" applyNumberFormat="1" applyFont="1" applyFill="1" applyBorder="1" applyAlignment="1" applyProtection="1">
      <alignment horizontal="right" vertical="top" wrapText="1"/>
    </xf>
    <xf numFmtId="167" fontId="11" fillId="4" borderId="50" xfId="3" applyNumberFormat="1" applyFont="1" applyFill="1" applyBorder="1" applyAlignment="1" applyProtection="1">
      <alignment horizontal="right" vertical="center" wrapText="1"/>
    </xf>
    <xf numFmtId="167" fontId="3" fillId="4" borderId="51" xfId="3" applyNumberFormat="1" applyFont="1" applyFill="1" applyBorder="1" applyAlignment="1" applyProtection="1">
      <alignment horizontal="right" vertical="center" wrapText="1"/>
    </xf>
    <xf numFmtId="167" fontId="3" fillId="4" borderId="2" xfId="3" applyNumberFormat="1" applyFont="1" applyFill="1" applyBorder="1" applyAlignment="1" applyProtection="1">
      <alignment horizontal="right" vertical="center" wrapText="1"/>
    </xf>
    <xf numFmtId="168" fontId="3" fillId="4" borderId="2" xfId="3" applyNumberFormat="1" applyFont="1" applyFill="1" applyBorder="1" applyAlignment="1" applyProtection="1">
      <alignment horizontal="right" vertical="center" wrapText="1"/>
    </xf>
    <xf numFmtId="0" fontId="12" fillId="4" borderId="17" xfId="1" applyNumberFormat="1" applyFont="1" applyFill="1" applyBorder="1" applyAlignment="1" applyProtection="1">
      <alignment horizontal="right" vertical="top" wrapText="1"/>
    </xf>
    <xf numFmtId="0" fontId="12" fillId="4" borderId="52" xfId="1" applyNumberFormat="1" applyFont="1" applyFill="1" applyBorder="1" applyAlignment="1" applyProtection="1">
      <alignment horizontal="right" vertical="top" wrapText="1"/>
    </xf>
    <xf numFmtId="170" fontId="11" fillId="4" borderId="53" xfId="3" applyNumberFormat="1" applyFont="1" applyFill="1" applyBorder="1" applyAlignment="1" applyProtection="1">
      <alignment horizontal="right" vertical="center" wrapText="1"/>
    </xf>
    <xf numFmtId="3" fontId="3" fillId="4" borderId="54" xfId="3" applyNumberFormat="1" applyFont="1" applyFill="1" applyBorder="1" applyAlignment="1" applyProtection="1">
      <alignment horizontal="right" vertical="center" wrapText="1"/>
    </xf>
    <xf numFmtId="171" fontId="3" fillId="4" borderId="54" xfId="3" applyNumberFormat="1" applyFont="1" applyFill="1" applyBorder="1" applyAlignment="1" applyProtection="1">
      <alignment horizontal="right" vertical="center" wrapText="1"/>
    </xf>
    <xf numFmtId="170" fontId="11" fillId="4" borderId="55" xfId="3" applyNumberFormat="1" applyFont="1" applyFill="1" applyBorder="1" applyAlignment="1" applyProtection="1">
      <alignment horizontal="right" vertical="center" wrapText="1"/>
    </xf>
    <xf numFmtId="0" fontId="13" fillId="3" borderId="5" xfId="0" applyFont="1" applyFill="1" applyBorder="1" applyAlignment="1">
      <alignment horizontal="center" vertical="top" wrapText="1"/>
    </xf>
    <xf numFmtId="0" fontId="13" fillId="3" borderId="11" xfId="0" applyFont="1" applyFill="1" applyBorder="1" applyAlignment="1">
      <alignment horizontal="center" vertical="top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vertical="top" wrapText="1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0" fontId="13" fillId="5" borderId="28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top" wrapText="1"/>
    </xf>
    <xf numFmtId="0" fontId="13" fillId="3" borderId="17" xfId="0" applyFont="1" applyFill="1" applyBorder="1" applyAlignment="1">
      <alignment horizontal="center" vertical="top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</cellXfs>
  <cellStyles count="11">
    <cellStyle name="Komma" xfId="1" builtinId="3"/>
    <cellStyle name="Komma 2" xfId="2"/>
    <cellStyle name="Komma 3" xfId="3"/>
    <cellStyle name="Normale 2" xfId="10"/>
    <cellStyle name="Standard" xfId="0" builtinId="0"/>
    <cellStyle name="Standard 2" xfId="4"/>
    <cellStyle name="Standard 2 2" xfId="7"/>
    <cellStyle name="Standard 3" xfId="5"/>
    <cellStyle name="Standard 4" xfId="6"/>
    <cellStyle name="Standard 4 2" xfId="8"/>
    <cellStyle name="Standard 5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444500</xdr:colOff>
      <xdr:row>5</xdr:row>
      <xdr:rowOff>32777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5</xdr:col>
      <xdr:colOff>476250</xdr:colOff>
      <xdr:row>0</xdr:row>
      <xdr:rowOff>19050</xdr:rowOff>
    </xdr:from>
    <xdr:to>
      <xdr:col>8</xdr:col>
      <xdr:colOff>648314</xdr:colOff>
      <xdr:row>4</xdr:row>
      <xdr:rowOff>145523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000625" y="19050"/>
          <a:ext cx="2515214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Option Button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168275</xdr:colOff>
      <xdr:row>5</xdr:row>
      <xdr:rowOff>32777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2</xdr:col>
      <xdr:colOff>200025</xdr:colOff>
      <xdr:row>0</xdr:row>
      <xdr:rowOff>19050</xdr:rowOff>
    </xdr:from>
    <xdr:to>
      <xdr:col>5</xdr:col>
      <xdr:colOff>638789</xdr:colOff>
      <xdr:row>4</xdr:row>
      <xdr:rowOff>145523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5000625" y="19050"/>
          <a:ext cx="2610464" cy="888473"/>
          <a:chOff x="5105400" y="38100"/>
          <a:chExt cx="2400914" cy="888473"/>
        </a:xfrm>
        <a:solidFill>
          <a:srgbClr val="00B0F0"/>
        </a:solidFill>
      </xdr:grpSpPr>
      <xdr:sp macro="" textlink="">
        <xdr:nvSpPr>
          <xdr:cNvPr id="4" name="Rechteck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51054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49" name="Option Button 1" hidden="1">
                <a:extLst>
                  <a:ext uri="{63B3BB69-23CF-44E3-9099-C40C66FF867C}">
                    <a14:compatExt spid="_x0000_s2049"/>
                  </a:ext>
                  <a:ext uri="{FF2B5EF4-FFF2-40B4-BE49-F238E27FC236}">
                    <a16:creationId xmlns:a16="http://schemas.microsoft.com/office/drawing/2014/main" id="{00000000-0008-0000-0100-000001080000}"/>
                  </a:ext>
                </a:extLst>
              </xdr:cNvPr>
              <xdr:cNvSpPr/>
            </xdr:nvSpPr>
            <xdr:spPr bwMode="auto">
              <a:xfrm>
                <a:off x="5762625" y="304800"/>
                <a:ext cx="10477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0" name="Option Button 2" hidden="1">
                <a:extLst>
                  <a:ext uri="{63B3BB69-23CF-44E3-9099-C40C66FF867C}">
                    <a14:compatExt spid="_x0000_s2050"/>
                  </a:ext>
                  <a:ext uri="{FF2B5EF4-FFF2-40B4-BE49-F238E27FC236}">
                    <a16:creationId xmlns:a16="http://schemas.microsoft.com/office/drawing/2014/main" id="{00000000-0008-0000-0100-000002080000}"/>
                  </a:ext>
                </a:extLst>
              </xdr:cNvPr>
              <xdr:cNvSpPr/>
            </xdr:nvSpPr>
            <xdr:spPr bwMode="auto">
              <a:xfrm>
                <a:off x="5762625" y="495300"/>
                <a:ext cx="14097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1" name="Option Button 3" hidden="1">
                <a:extLst>
                  <a:ext uri="{63B3BB69-23CF-44E3-9099-C40C66FF867C}">
                    <a14:compatExt spid="_x0000_s2051"/>
                  </a:ext>
                  <a:ext uri="{FF2B5EF4-FFF2-40B4-BE49-F238E27FC236}">
                    <a16:creationId xmlns:a16="http://schemas.microsoft.com/office/drawing/2014/main" id="{00000000-0008-0000-0100-000003080000}"/>
                  </a:ext>
                </a:extLst>
              </xdr:cNvPr>
              <xdr:cNvSpPr/>
            </xdr:nvSpPr>
            <xdr:spPr bwMode="auto">
              <a:xfrm>
                <a:off x="5762625" y="657225"/>
                <a:ext cx="10477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3"/>
  <sheetViews>
    <sheetView showGridLines="0" tabSelected="1" zoomScaleNormal="100" workbookViewId="0"/>
  </sheetViews>
  <sheetFormatPr baseColWidth="10" defaultRowHeight="12.75" x14ac:dyDescent="0.2"/>
  <cols>
    <col min="1" max="1" width="18.375" style="6" customWidth="1"/>
    <col min="2" max="15" width="10.25" style="6" customWidth="1"/>
    <col min="16" max="16384" width="11" style="6"/>
  </cols>
  <sheetData>
    <row r="1" spans="1:20" s="1" customFormat="1" x14ac:dyDescent="0.2"/>
    <row r="2" spans="1:20" s="1" customFormat="1" ht="15.75" x14ac:dyDescent="0.25">
      <c r="B2" s="2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20" s="1" customFormat="1" ht="15.75" x14ac:dyDescent="0.25">
      <c r="B3" s="2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20" s="1" customFormat="1" ht="15.75" x14ac:dyDescent="0.25">
      <c r="B4" s="2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20" s="1" customFormat="1" x14ac:dyDescent="0.2"/>
    <row r="6" spans="1:20" s="1" customFormat="1" x14ac:dyDescent="0.2"/>
    <row r="7" spans="1:20" s="1" customFormat="1" ht="15.75" customHeight="1" x14ac:dyDescent="0.2">
      <c r="A7" s="98" t="str">
        <f>VLOOKUP("&lt;Fachbereich&gt;",Uebersetzungen!$B$3:$E$32,Uebersetzungen!$B$2+1,FALSE)</f>
        <v>Daten &amp; Statistik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15"/>
      <c r="N7" s="15"/>
      <c r="O7" s="15"/>
      <c r="P7" s="15"/>
      <c r="Q7" s="15"/>
    </row>
    <row r="8" spans="1:20" s="1" customFormat="1" x14ac:dyDescent="0.2"/>
    <row r="9" spans="1:20" ht="18" x14ac:dyDescent="0.2">
      <c r="A9" s="3" t="str">
        <f>VLOOKUP("&lt;Titel&gt;",Uebersetzungen!$B$3:$E$32,Uebersetzungen!$B$2+1,FALSE)</f>
        <v>Ständige Wohnbevölkerung nach Hauptsprachen und Kanton</v>
      </c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20" x14ac:dyDescent="0.2">
      <c r="A10" s="7" t="str">
        <f>VLOOKUP("&lt;UTitel&gt;",Uebersetzungen!$B$3:$E$32,Uebersetzungen!$B$2+1,FALSE)</f>
        <v>Ständige Wohnbevölkerung ab 15 Jahren</v>
      </c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R10" s="29"/>
      <c r="S10" s="29"/>
      <c r="T10" s="29"/>
    </row>
    <row r="11" spans="1:20" ht="13.5" thickBot="1" x14ac:dyDescent="0.25">
      <c r="A11" s="7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R11" s="29"/>
      <c r="S11" s="29"/>
      <c r="T11" s="29"/>
    </row>
    <row r="12" spans="1:20" ht="18.75" thickBot="1" x14ac:dyDescent="0.3">
      <c r="A12" s="8"/>
      <c r="B12" s="99">
        <v>2022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1"/>
      <c r="R12" s="29"/>
      <c r="S12" s="29"/>
      <c r="T12" s="29"/>
    </row>
    <row r="13" spans="1:20" ht="37.5" customHeight="1" thickBot="1" x14ac:dyDescent="0.25">
      <c r="A13" s="93"/>
      <c r="B13" s="95" t="str">
        <f>VLOOKUP("&lt;SpaltenTitel_1&gt;",Uebersetzungen!$B$3:$E$338,Uebersetzungen!$B$2+1,FALSE)</f>
        <v>Total</v>
      </c>
      <c r="C13" s="96"/>
      <c r="D13" s="102" t="str">
        <f>VLOOKUP("&lt;SpaltenTitel_2&gt;",Uebersetzungen!$B$3:$E$338,Uebersetzungen!$B$2+1,FALSE)</f>
        <v>Deutsch (oder Schweizerdeutsch)</v>
      </c>
      <c r="E13" s="103"/>
      <c r="F13" s="102" t="str">
        <f>VLOOKUP("&lt;SpaltenTitel_3&gt;",Uebersetzungen!$B$3:$E$338,Uebersetzungen!$B$2+1,FALSE)</f>
        <v>Französisch (oder Patois Romand)</v>
      </c>
      <c r="G13" s="103"/>
      <c r="H13" s="102" t="str">
        <f>VLOOKUP("&lt;SpaltenTitel_4&gt;",Uebersetzungen!$B$3:$E$338,Uebersetzungen!$B$2+1,FALSE)</f>
        <v>Italienisch (oder Tessiner/Bündner-italienischer Dialekt)</v>
      </c>
      <c r="I13" s="103"/>
      <c r="J13" s="102" t="str">
        <f>VLOOKUP("&lt;SpaltenTitel_5&gt;",Uebersetzungen!$B$3:$E$338,Uebersetzungen!$B$2+1,FALSE)</f>
        <v>Rätoromanisch</v>
      </c>
      <c r="K13" s="103"/>
      <c r="L13" s="96" t="str">
        <f>VLOOKUP("&lt;SpaltenTitel_6&gt;",Uebersetzungen!$B$3:$E$338,Uebersetzungen!$B$2+1,FALSE)</f>
        <v>Englisch</v>
      </c>
      <c r="M13" s="96"/>
      <c r="N13" s="96" t="str">
        <f>VLOOKUP("&lt;SpaltenTitel_7&gt;",Uebersetzungen!$B$3:$E$338,Uebersetzungen!$B$2+1,FALSE)</f>
        <v>Andere Sprache/n</v>
      </c>
      <c r="O13" s="97"/>
      <c r="R13" s="29"/>
      <c r="S13" s="29"/>
      <c r="T13" s="29"/>
    </row>
    <row r="14" spans="1:20" ht="39" thickBot="1" x14ac:dyDescent="0.25">
      <c r="A14" s="94"/>
      <c r="B14" s="51" t="str">
        <f>VLOOKUP("&lt;SpaltenTitel_1.1&gt;",Uebersetzungen!$B$3:$E$32,Uebersetzungen!$B$2+1,FALSE)</f>
        <v>Anzahl Personen</v>
      </c>
      <c r="C14" s="54" t="str">
        <f>VLOOKUP("&lt;SpaltenTitel_1.2&gt;",Uebersetzungen!$B$3:$E$32,Uebersetzungen!$B$2+1,FALSE)</f>
        <v>Vertrauens- intervall: 
± (in %)</v>
      </c>
      <c r="D14" s="55" t="str">
        <f>VLOOKUP("&lt;SpaltenTitel_1.1&gt;",Uebersetzungen!$B$3:$E$32,Uebersetzungen!$B$2+1,FALSE)</f>
        <v>Anzahl Personen</v>
      </c>
      <c r="E14" s="54" t="str">
        <f>VLOOKUP("&lt;SpaltenTitel_1.2&gt;",Uebersetzungen!$B$3:$E$32,Uebersetzungen!$B$2+1,FALSE)</f>
        <v>Vertrauens- intervall: 
± (in %)</v>
      </c>
      <c r="F14" s="55" t="str">
        <f>VLOOKUP("&lt;SpaltenTitel_1.1&gt;",Uebersetzungen!$B$3:$E$32,Uebersetzungen!$B$2+1,FALSE)</f>
        <v>Anzahl Personen</v>
      </c>
      <c r="G14" s="54" t="str">
        <f>VLOOKUP("&lt;SpaltenTitel_1.2&gt;",Uebersetzungen!$B$3:$E$32,Uebersetzungen!$B$2+1,FALSE)</f>
        <v>Vertrauens- intervall: 
± (in %)</v>
      </c>
      <c r="H14" s="55" t="str">
        <f>VLOOKUP("&lt;SpaltenTitel_1.1&gt;",Uebersetzungen!$B$3:$E$32,Uebersetzungen!$B$2+1,FALSE)</f>
        <v>Anzahl Personen</v>
      </c>
      <c r="I14" s="52" t="str">
        <f>VLOOKUP("&lt;SpaltenTitel_1.2&gt;",Uebersetzungen!$B$3:$E$32,Uebersetzungen!$B$2+1,FALSE)</f>
        <v>Vertrauens- intervall: 
± (in %)</v>
      </c>
      <c r="J14" s="53" t="str">
        <f>VLOOKUP("&lt;SpaltenTitel_1.1&gt;",Uebersetzungen!$B$3:$E$32,Uebersetzungen!$B$2+1,FALSE)</f>
        <v>Anzahl Personen</v>
      </c>
      <c r="K14" s="52" t="str">
        <f>VLOOKUP("&lt;SpaltenTitel_1.2&gt;",Uebersetzungen!$B$3:$E$32,Uebersetzungen!$B$2+1,FALSE)</f>
        <v>Vertrauens- intervall: 
± (in %)</v>
      </c>
      <c r="L14" s="53" t="str">
        <f>VLOOKUP("&lt;SpaltenTitel_1.1&gt;",Uebersetzungen!$B$3:$E$32,Uebersetzungen!$B$2+1,FALSE)</f>
        <v>Anzahl Personen</v>
      </c>
      <c r="M14" s="54" t="str">
        <f>VLOOKUP("&lt;SpaltenTitel_1.2&gt;",Uebersetzungen!$B$3:$E$32,Uebersetzungen!$B$2+1,FALSE)</f>
        <v>Vertrauens- intervall: 
± (in %)</v>
      </c>
      <c r="N14" s="55" t="str">
        <f>VLOOKUP("&lt;SpaltenTitel_1.1&gt;",Uebersetzungen!$B$3:$E$32,Uebersetzungen!$B$2+1,FALSE)</f>
        <v>Anzahl Personen</v>
      </c>
      <c r="O14" s="56" t="str">
        <f>VLOOKUP("&lt;SpaltenTitel_1.2&gt;",Uebersetzungen!$B$3:$E$32,Uebersetzungen!$B$2+1,FALSE)</f>
        <v>Vertrauens- intervall: 
± (in %)</v>
      </c>
      <c r="R14" s="29"/>
      <c r="S14" s="29"/>
      <c r="T14" s="29"/>
    </row>
    <row r="15" spans="1:20" x14ac:dyDescent="0.2">
      <c r="A15" s="47" t="str">
        <f>VLOOKUP("&lt;Zeilentitel_1&gt;",Uebersetzungen!$B$3:$E$32,Uebersetzungen!$B$2+1,FALSE)</f>
        <v>Total</v>
      </c>
      <c r="B15" s="65">
        <v>7307819.0000000494</v>
      </c>
      <c r="C15" s="61">
        <v>5.3159065886897616E-2</v>
      </c>
      <c r="D15" s="68">
        <v>4513543.9672027705</v>
      </c>
      <c r="E15" s="61">
        <v>0.2236020406458952</v>
      </c>
      <c r="F15" s="68">
        <v>1650805.6419994798</v>
      </c>
      <c r="G15" s="61">
        <v>0.44068248886349615</v>
      </c>
      <c r="H15" s="68">
        <v>595853.13096255809</v>
      </c>
      <c r="I15" s="61">
        <v>1.0208117790579896</v>
      </c>
      <c r="J15" s="68">
        <v>36209.201850942525</v>
      </c>
      <c r="K15" s="61">
        <v>5.530339828391285</v>
      </c>
      <c r="L15" s="68">
        <v>515465.24965087266</v>
      </c>
      <c r="M15" s="61">
        <v>1.4182291610620934</v>
      </c>
      <c r="N15" s="68">
        <v>1345831.3726817134</v>
      </c>
      <c r="O15" s="57">
        <v>0.84902035048210733</v>
      </c>
      <c r="R15" s="29"/>
      <c r="S15" s="29"/>
      <c r="T15" s="29"/>
    </row>
    <row r="16" spans="1:20" x14ac:dyDescent="0.2">
      <c r="A16" s="48" t="str">
        <f>VLOOKUP("&lt;Zeilentitel_2&gt;",Uebersetzungen!$B$3:$E$32,Uebersetzungen!$B$2+1,FALSE)</f>
        <v>Zürich</v>
      </c>
      <c r="B16" s="66">
        <v>1312405.0000000065</v>
      </c>
      <c r="C16" s="41">
        <v>0.14765637313590413</v>
      </c>
      <c r="D16" s="11">
        <v>1042118.4884568821</v>
      </c>
      <c r="E16" s="41">
        <v>0.51003322194105294</v>
      </c>
      <c r="F16" s="11">
        <v>41672.837354036594</v>
      </c>
      <c r="G16" s="41">
        <v>5.5623540896294434</v>
      </c>
      <c r="H16" s="11">
        <v>75774.826644768778</v>
      </c>
      <c r="I16" s="41">
        <v>4.1133822620736957</v>
      </c>
      <c r="J16" s="11">
        <v>3925.3837742406085</v>
      </c>
      <c r="K16" s="41">
        <v>18.082549164903696</v>
      </c>
      <c r="L16" s="11">
        <v>141311.54584804369</v>
      </c>
      <c r="M16" s="41">
        <v>3.0073880325449944</v>
      </c>
      <c r="N16" s="11">
        <v>285108.60723805748</v>
      </c>
      <c r="O16" s="58">
        <v>2.0463862798052346</v>
      </c>
      <c r="R16" s="29"/>
      <c r="S16" s="29"/>
      <c r="T16" s="29"/>
    </row>
    <row r="17" spans="1:20" x14ac:dyDescent="0.2">
      <c r="A17" s="48" t="str">
        <f>VLOOKUP("&lt;Zeilentitel_3&gt;",Uebersetzungen!$B$3:$E$32,Uebersetzungen!$B$2+1,FALSE)</f>
        <v>Bern</v>
      </c>
      <c r="B17" s="66">
        <v>879250.00000003516</v>
      </c>
      <c r="C17" s="41">
        <v>0.14502279620234668</v>
      </c>
      <c r="D17" s="11">
        <v>726450.06946631486</v>
      </c>
      <c r="E17" s="41">
        <v>0.55299327909488372</v>
      </c>
      <c r="F17" s="11">
        <v>93982.813183898426</v>
      </c>
      <c r="G17" s="41">
        <v>3.5130101259073494</v>
      </c>
      <c r="H17" s="11">
        <v>28324.713250765715</v>
      </c>
      <c r="I17" s="41">
        <v>6.8227913465776187</v>
      </c>
      <c r="J17" s="12">
        <v>928.18195890259153</v>
      </c>
      <c r="K17" s="63">
        <v>36.574045577451997</v>
      </c>
      <c r="L17" s="11">
        <v>42697.424224770119</v>
      </c>
      <c r="M17" s="41">
        <v>5.5522298691658589</v>
      </c>
      <c r="N17" s="11">
        <v>117371.95400938453</v>
      </c>
      <c r="O17" s="58">
        <v>3.3042441628329953</v>
      </c>
      <c r="R17" s="29"/>
      <c r="S17" s="29"/>
      <c r="T17" s="29"/>
    </row>
    <row r="18" spans="1:20" x14ac:dyDescent="0.2">
      <c r="A18" s="48" t="str">
        <f>VLOOKUP("&lt;Zeilentitel_4&gt;",Uebersetzungen!$B$3:$E$32,Uebersetzungen!$B$2+1,FALSE)</f>
        <v>Luzern</v>
      </c>
      <c r="B18" s="66">
        <v>352202.99999999593</v>
      </c>
      <c r="C18" s="41">
        <v>0.17401157788389754</v>
      </c>
      <c r="D18" s="11">
        <v>308086.04899885837</v>
      </c>
      <c r="E18" s="41">
        <v>0.5005397795771086</v>
      </c>
      <c r="F18" s="11">
        <v>5322.4418564002981</v>
      </c>
      <c r="G18" s="41">
        <v>10.719818970151975</v>
      </c>
      <c r="H18" s="11">
        <v>10998.623687107036</v>
      </c>
      <c r="I18" s="41">
        <v>7.5932625678855814</v>
      </c>
      <c r="J18" s="12">
        <v>801.40322936876646</v>
      </c>
      <c r="K18" s="63">
        <v>27.619556500432694</v>
      </c>
      <c r="L18" s="11">
        <v>18490.537011236982</v>
      </c>
      <c r="M18" s="41">
        <v>5.9211026628527925</v>
      </c>
      <c r="N18" s="11">
        <v>59277.846610632019</v>
      </c>
      <c r="O18" s="58">
        <v>3.1933259650045174</v>
      </c>
      <c r="R18" s="29"/>
      <c r="S18" s="29"/>
      <c r="T18" s="29"/>
    </row>
    <row r="19" spans="1:20" x14ac:dyDescent="0.2">
      <c r="A19" s="48" t="str">
        <f>VLOOKUP("&lt;Zeilentitel_5&gt;",Uebersetzungen!$B$3:$E$32,Uebersetzungen!$B$2+1,FALSE)</f>
        <v>Uri</v>
      </c>
      <c r="B19" s="66">
        <v>31074.999999999854</v>
      </c>
      <c r="C19" s="41">
        <v>0.66752093390529454</v>
      </c>
      <c r="D19" s="11">
        <v>28203.222575776334</v>
      </c>
      <c r="E19" s="41">
        <v>1.92531593591336</v>
      </c>
      <c r="F19" s="12">
        <v>264.31605445812909</v>
      </c>
      <c r="G19" s="63">
        <v>68.744766570854736</v>
      </c>
      <c r="H19" s="12">
        <v>714.34284456838122</v>
      </c>
      <c r="I19" s="63">
        <v>42.960400985036337</v>
      </c>
      <c r="J19" s="12">
        <v>150.64316087984051</v>
      </c>
      <c r="K19" s="63">
        <v>86.191109218950871</v>
      </c>
      <c r="L19" s="12">
        <v>1028.5143017051869</v>
      </c>
      <c r="M19" s="63">
        <v>35.83551152485866</v>
      </c>
      <c r="N19" s="11">
        <v>3201.9892197008503</v>
      </c>
      <c r="O19" s="58">
        <v>20.178250609602824</v>
      </c>
      <c r="R19" s="29"/>
      <c r="S19" s="29"/>
      <c r="T19" s="29"/>
    </row>
    <row r="20" spans="1:20" x14ac:dyDescent="0.2">
      <c r="A20" s="48" t="str">
        <f>VLOOKUP("&lt;Zeilentitel_6&gt;",Uebersetzungen!$B$3:$E$32,Uebersetzungen!$B$2+1,FALSE)</f>
        <v>Schwyz</v>
      </c>
      <c r="B20" s="66">
        <v>138672.00000000143</v>
      </c>
      <c r="C20" s="41">
        <v>0.44557971090413989</v>
      </c>
      <c r="D20" s="11">
        <v>120110.87888070158</v>
      </c>
      <c r="E20" s="41">
        <v>1.1962739018132722</v>
      </c>
      <c r="F20" s="11">
        <v>2941.0302703694215</v>
      </c>
      <c r="G20" s="41">
        <v>20.036791802416033</v>
      </c>
      <c r="H20" s="11">
        <v>4848.6661819280207</v>
      </c>
      <c r="I20" s="41">
        <v>15.945627881996653</v>
      </c>
      <c r="J20" s="12">
        <v>509.38548591212981</v>
      </c>
      <c r="K20" s="63">
        <v>48.30416646636737</v>
      </c>
      <c r="L20" s="11">
        <v>9879.8089902131669</v>
      </c>
      <c r="M20" s="41">
        <v>11.296547302281311</v>
      </c>
      <c r="N20" s="11">
        <v>20956.831024098585</v>
      </c>
      <c r="O20" s="58">
        <v>7.8608624660252309</v>
      </c>
      <c r="R20" s="29"/>
      <c r="S20" s="29"/>
      <c r="T20" s="29"/>
    </row>
    <row r="21" spans="1:20" x14ac:dyDescent="0.2">
      <c r="A21" s="48" t="str">
        <f>VLOOKUP("&lt;Zeilentitel_7&gt;",Uebersetzungen!$B$3:$E$32,Uebersetzungen!$B$2+1,FALSE)</f>
        <v>Obwalden</v>
      </c>
      <c r="B21" s="66">
        <v>32326.99999999988</v>
      </c>
      <c r="C21" s="41">
        <v>0.7909801784541467</v>
      </c>
      <c r="D21" s="11">
        <v>28965.520450366708</v>
      </c>
      <c r="E21" s="41">
        <v>2.1428937813586972</v>
      </c>
      <c r="F21" s="12">
        <v>231.8638083304931</v>
      </c>
      <c r="G21" s="63">
        <v>72.91732528153122</v>
      </c>
      <c r="H21" s="12">
        <v>465.64815600236722</v>
      </c>
      <c r="I21" s="63">
        <v>55.97720787110584</v>
      </c>
      <c r="J21" s="11" t="s">
        <v>234</v>
      </c>
      <c r="K21" s="41" t="s">
        <v>234</v>
      </c>
      <c r="L21" s="12">
        <v>1465.4163305880707</v>
      </c>
      <c r="M21" s="63">
        <v>29.514155364759887</v>
      </c>
      <c r="N21" s="11">
        <v>3958.5632759471396</v>
      </c>
      <c r="O21" s="58">
        <v>17.860710363909636</v>
      </c>
      <c r="R21" s="29"/>
      <c r="S21" s="29"/>
      <c r="T21" s="29"/>
    </row>
    <row r="22" spans="1:20" x14ac:dyDescent="0.2">
      <c r="A22" s="48" t="str">
        <f>VLOOKUP("&lt;Zeilentitel_8&gt;",Uebersetzungen!$B$3:$E$32,Uebersetzungen!$B$2+1,FALSE)</f>
        <v>Nidwalden</v>
      </c>
      <c r="B22" s="66">
        <v>37829.000000000182</v>
      </c>
      <c r="C22" s="41">
        <v>0.69384402512898957</v>
      </c>
      <c r="D22" s="11">
        <v>34089.091464646044</v>
      </c>
      <c r="E22" s="41">
        <v>1.9980618340142693</v>
      </c>
      <c r="F22" s="12">
        <v>811.6114047606269</v>
      </c>
      <c r="G22" s="63">
        <v>39.711092686288737</v>
      </c>
      <c r="H22" s="12">
        <v>1025.449373196677</v>
      </c>
      <c r="I22" s="63">
        <v>37.042926709975148</v>
      </c>
      <c r="J22" s="11" t="s">
        <v>234</v>
      </c>
      <c r="K22" s="41" t="s">
        <v>234</v>
      </c>
      <c r="L22" s="11">
        <v>2501.082133038502</v>
      </c>
      <c r="M22" s="41">
        <v>22.976611723695061</v>
      </c>
      <c r="N22" s="11">
        <v>4327.9819345046972</v>
      </c>
      <c r="O22" s="58">
        <v>17.751491606220405</v>
      </c>
      <c r="R22" s="29"/>
      <c r="S22" s="29"/>
      <c r="T22" s="29"/>
    </row>
    <row r="23" spans="1:20" x14ac:dyDescent="0.2">
      <c r="A23" s="48" t="str">
        <f>VLOOKUP("&lt;Zeilentitel_9&gt;",Uebersetzungen!$B$3:$E$32,Uebersetzungen!$B$2+1,FALSE)</f>
        <v>Glarus</v>
      </c>
      <c r="B23" s="66">
        <v>34613.00000000016</v>
      </c>
      <c r="C23" s="41">
        <v>1.1043443962313757</v>
      </c>
      <c r="D23" s="11">
        <v>29295.636908479661</v>
      </c>
      <c r="E23" s="41">
        <v>2.9837730866528176</v>
      </c>
      <c r="F23" s="12">
        <v>275.1735638240151</v>
      </c>
      <c r="G23" s="63">
        <v>74.109971247582081</v>
      </c>
      <c r="H23" s="12">
        <v>1819.7784449610751</v>
      </c>
      <c r="I23" s="63">
        <v>28.212208549127062</v>
      </c>
      <c r="J23" s="11" t="s">
        <v>234</v>
      </c>
      <c r="K23" s="41" t="s">
        <v>234</v>
      </c>
      <c r="L23" s="11">
        <v>2065.6379165260792</v>
      </c>
      <c r="M23" s="41">
        <v>26.664727916834913</v>
      </c>
      <c r="N23" s="11">
        <v>6256.9442733386604</v>
      </c>
      <c r="O23" s="58">
        <v>14.464448211343509</v>
      </c>
      <c r="R23" s="29"/>
      <c r="S23" s="29"/>
      <c r="T23" s="29"/>
    </row>
    <row r="24" spans="1:20" x14ac:dyDescent="0.2">
      <c r="A24" s="48" t="str">
        <f>VLOOKUP("&lt;Zeilentitel_10&gt;",Uebersetzungen!$B$3:$E$32,Uebersetzungen!$B$2+1,FALSE)</f>
        <v>Zug</v>
      </c>
      <c r="B24" s="66">
        <v>108988.00000000199</v>
      </c>
      <c r="C24" s="41">
        <v>0.31786915252132286</v>
      </c>
      <c r="D24" s="11">
        <v>85940.534411729866</v>
      </c>
      <c r="E24" s="41">
        <v>1.2207640532673114</v>
      </c>
      <c r="F24" s="11">
        <v>3795.8448646142638</v>
      </c>
      <c r="G24" s="41">
        <v>12.581460794961382</v>
      </c>
      <c r="H24" s="11">
        <v>4410.0006011027162</v>
      </c>
      <c r="I24" s="41">
        <v>11.719131978879849</v>
      </c>
      <c r="J24" s="12">
        <v>194.38341910413254</v>
      </c>
      <c r="K24" s="63">
        <v>54.949140487790636</v>
      </c>
      <c r="L24" s="11">
        <v>15395.494522126268</v>
      </c>
      <c r="M24" s="41">
        <v>6.1532628272815879</v>
      </c>
      <c r="N24" s="11">
        <v>21665.498234323881</v>
      </c>
      <c r="O24" s="58">
        <v>5.1190581740682619</v>
      </c>
      <c r="R24" s="29"/>
      <c r="S24" s="29"/>
      <c r="T24" s="29"/>
    </row>
    <row r="25" spans="1:20" x14ac:dyDescent="0.2">
      <c r="A25" s="48" t="str">
        <f>VLOOKUP("&lt;Zeilentitel_11&gt;",Uebersetzungen!$B$3:$E$32,Uebersetzungen!$B$2+1,FALSE)</f>
        <v>Freiburg</v>
      </c>
      <c r="B25" s="66">
        <v>273359.99999999872</v>
      </c>
      <c r="C25" s="41">
        <v>0.2709516817294213</v>
      </c>
      <c r="D25" s="11">
        <v>68837.797041161873</v>
      </c>
      <c r="E25" s="41">
        <v>3.6752939283933181</v>
      </c>
      <c r="F25" s="11">
        <v>189176.96147449297</v>
      </c>
      <c r="G25" s="41">
        <v>1.4577376867228959</v>
      </c>
      <c r="H25" s="11">
        <v>7711.1713391972162</v>
      </c>
      <c r="I25" s="41">
        <v>12.781680631182887</v>
      </c>
      <c r="J25" s="12">
        <v>218.13817096450299</v>
      </c>
      <c r="K25" s="63">
        <v>80.293762258086971</v>
      </c>
      <c r="L25" s="11">
        <v>10518.684202985311</v>
      </c>
      <c r="M25" s="41">
        <v>11.15787849204758</v>
      </c>
      <c r="N25" s="11">
        <v>47034.975865481654</v>
      </c>
      <c r="O25" s="58">
        <v>5.0914986871899464</v>
      </c>
      <c r="R25" s="29"/>
      <c r="S25" s="29"/>
      <c r="T25" s="29"/>
    </row>
    <row r="26" spans="1:20" x14ac:dyDescent="0.2">
      <c r="A26" s="48" t="str">
        <f>VLOOKUP("&lt;Zeilentitel_12&gt;",Uebersetzungen!$B$3:$E$32,Uebersetzungen!$B$2+1,FALSE)</f>
        <v>Solothurn</v>
      </c>
      <c r="B26" s="66">
        <v>237080.00000000038</v>
      </c>
      <c r="C26" s="41">
        <v>0.3394514053050191</v>
      </c>
      <c r="D26" s="11">
        <v>205506.20255558696</v>
      </c>
      <c r="E26" s="41">
        <v>0.9362020983373549</v>
      </c>
      <c r="F26" s="11">
        <v>6130.0321224790923</v>
      </c>
      <c r="G26" s="41">
        <v>14.558917458095713</v>
      </c>
      <c r="H26" s="11">
        <v>11084.71621525973</v>
      </c>
      <c r="I26" s="41">
        <v>11.096414405714942</v>
      </c>
      <c r="J26" s="12">
        <v>284.70107531883792</v>
      </c>
      <c r="K26" s="63">
        <v>68.577008954796966</v>
      </c>
      <c r="L26" s="11">
        <v>10563.305799242891</v>
      </c>
      <c r="M26" s="41">
        <v>11.539239596330312</v>
      </c>
      <c r="N26" s="11">
        <v>39750.558134421175</v>
      </c>
      <c r="O26" s="58">
        <v>5.7591265681826211</v>
      </c>
      <c r="R26" s="29"/>
      <c r="S26" s="29"/>
      <c r="T26" s="29"/>
    </row>
    <row r="27" spans="1:20" x14ac:dyDescent="0.2">
      <c r="A27" s="48" t="str">
        <f>VLOOKUP("&lt;Zeilentitel_13&gt;",Uebersetzungen!$B$3:$E$32,Uebersetzungen!$B$2+1,FALSE)</f>
        <v>Basel-Stadt</v>
      </c>
      <c r="B27" s="66">
        <v>165064.00000000317</v>
      </c>
      <c r="C27" s="41">
        <v>0.48022799214661288</v>
      </c>
      <c r="D27" s="11">
        <v>123401.85925094738</v>
      </c>
      <c r="E27" s="41">
        <v>1.6676524694375265</v>
      </c>
      <c r="F27" s="11">
        <v>8244.3141534508795</v>
      </c>
      <c r="G27" s="41">
        <v>12.767783305902752</v>
      </c>
      <c r="H27" s="11">
        <v>10125.237226049674</v>
      </c>
      <c r="I27" s="41">
        <v>11.444160530899604</v>
      </c>
      <c r="J27" s="12">
        <v>195.94972738664848</v>
      </c>
      <c r="K27" s="63">
        <v>88.071439825674318</v>
      </c>
      <c r="L27" s="11">
        <v>20589.714393528593</v>
      </c>
      <c r="M27" s="41">
        <v>7.9746157491238261</v>
      </c>
      <c r="N27" s="11">
        <v>40295.930342808926</v>
      </c>
      <c r="O27" s="58">
        <v>5.5132919727238665</v>
      </c>
      <c r="R27" s="29"/>
      <c r="S27" s="29"/>
      <c r="T27" s="29"/>
    </row>
    <row r="28" spans="1:20" x14ac:dyDescent="0.2">
      <c r="A28" s="48" t="str">
        <f>VLOOKUP("&lt;Zeilentitel_14&gt;",Uebersetzungen!$B$3:$E$32,Uebersetzungen!$B$2+1,FALSE)</f>
        <v>Basel-Landschaft</v>
      </c>
      <c r="B28" s="66">
        <v>247484.99999999703</v>
      </c>
      <c r="C28" s="41">
        <v>0.30876322003801149</v>
      </c>
      <c r="D28" s="11">
        <v>213190.05548468279</v>
      </c>
      <c r="E28" s="41">
        <v>0.91811389916412744</v>
      </c>
      <c r="F28" s="11">
        <v>7513.7623353819799</v>
      </c>
      <c r="G28" s="41">
        <v>12.832780241233918</v>
      </c>
      <c r="H28" s="11">
        <v>11508.021594985388</v>
      </c>
      <c r="I28" s="41">
        <v>10.501141013254987</v>
      </c>
      <c r="J28" s="12">
        <v>305.69715353401409</v>
      </c>
      <c r="K28" s="63">
        <v>64.635407327712684</v>
      </c>
      <c r="L28" s="11">
        <v>17883.476555909168</v>
      </c>
      <c r="M28" s="41">
        <v>8.4646482073185858</v>
      </c>
      <c r="N28" s="11">
        <v>38725.102905811167</v>
      </c>
      <c r="O28" s="58">
        <v>5.6497202292680981</v>
      </c>
      <c r="R28" s="29"/>
      <c r="S28" s="29"/>
      <c r="T28" s="29"/>
    </row>
    <row r="29" spans="1:20" x14ac:dyDescent="0.2">
      <c r="A29" s="48" t="str">
        <f>VLOOKUP("&lt;Zeilentitel_15&gt;",Uebersetzungen!$B$3:$E$54,Uebersetzungen!$B$2+1,FALSE)</f>
        <v>Schaffhausen</v>
      </c>
      <c r="B29" s="66">
        <v>71534.999999999724</v>
      </c>
      <c r="C29" s="41">
        <v>0.68399138623841527</v>
      </c>
      <c r="D29" s="11">
        <v>61528.873580784129</v>
      </c>
      <c r="E29" s="41">
        <v>1.7498049806567206</v>
      </c>
      <c r="F29" s="12">
        <v>1015.1359943389269</v>
      </c>
      <c r="G29" s="63">
        <v>36.066542724433255</v>
      </c>
      <c r="H29" s="11">
        <v>2948.5110322568371</v>
      </c>
      <c r="I29" s="41">
        <v>21.616904304492262</v>
      </c>
      <c r="J29" s="12">
        <v>258.08424796481233</v>
      </c>
      <c r="K29" s="63">
        <v>80.892874640033412</v>
      </c>
      <c r="L29" s="11">
        <v>4221.1622092399248</v>
      </c>
      <c r="M29" s="41">
        <v>17.650469294309644</v>
      </c>
      <c r="N29" s="11">
        <v>13934.629875573664</v>
      </c>
      <c r="O29" s="58">
        <v>9.5742168998135693</v>
      </c>
      <c r="R29" s="29"/>
      <c r="S29" s="29"/>
      <c r="T29" s="29"/>
    </row>
    <row r="30" spans="1:20" ht="14.25" customHeight="1" x14ac:dyDescent="0.2">
      <c r="A30" s="48" t="str">
        <f>VLOOKUP("&lt;Zeilentitel_16&gt;",Uebersetzungen!$B$3:$E$54,Uebersetzungen!$B$2+1,FALSE)</f>
        <v>Appenzell Ausserrhoden</v>
      </c>
      <c r="B30" s="66">
        <v>46087.999999999251</v>
      </c>
      <c r="C30" s="41">
        <v>0.71462856760759652</v>
      </c>
      <c r="D30" s="11">
        <v>42170.945026763424</v>
      </c>
      <c r="E30" s="41">
        <v>1.7492985165928137</v>
      </c>
      <c r="F30" s="12">
        <v>777.94237461685918</v>
      </c>
      <c r="G30" s="63">
        <v>41.242797228329998</v>
      </c>
      <c r="H30" s="12">
        <v>833.81775449514294</v>
      </c>
      <c r="I30" s="63">
        <v>40.475435277735301</v>
      </c>
      <c r="J30" s="11" t="s">
        <v>234</v>
      </c>
      <c r="K30" s="41" t="s">
        <v>234</v>
      </c>
      <c r="L30" s="12">
        <v>1368.2429366695321</v>
      </c>
      <c r="M30" s="63">
        <v>31.501422612256054</v>
      </c>
      <c r="N30" s="11">
        <v>4941.707486506064</v>
      </c>
      <c r="O30" s="58">
        <v>16.523804968108401</v>
      </c>
      <c r="R30" s="29"/>
      <c r="S30" s="29"/>
      <c r="T30" s="29"/>
    </row>
    <row r="31" spans="1:20" x14ac:dyDescent="0.2">
      <c r="A31" s="48" t="str">
        <f>VLOOKUP("&lt;Zeilentitel_17&gt;",Uebersetzungen!$B$3:$E$54,Uebersetzungen!$B$2+1,FALSE)</f>
        <v>Appenzell Innerrhoden</v>
      </c>
      <c r="B31" s="66">
        <v>13537.999999999991</v>
      </c>
      <c r="C31" s="41">
        <v>1.7050358244601409</v>
      </c>
      <c r="D31" s="11">
        <v>12542.328432673348</v>
      </c>
      <c r="E31" s="41">
        <v>2.6741946521397799</v>
      </c>
      <c r="F31" s="12">
        <v>204.24879071490864</v>
      </c>
      <c r="G31" s="63">
        <v>78.682662489460014</v>
      </c>
      <c r="H31" s="11" t="s">
        <v>234</v>
      </c>
      <c r="I31" s="41" t="s">
        <v>234</v>
      </c>
      <c r="J31" s="11" t="s">
        <v>234</v>
      </c>
      <c r="K31" s="41" t="s">
        <v>234</v>
      </c>
      <c r="L31" s="12">
        <v>403.84017114967492</v>
      </c>
      <c r="M31" s="63">
        <v>66.223767587591965</v>
      </c>
      <c r="N31" s="12">
        <v>1282.0675195526576</v>
      </c>
      <c r="O31" s="59">
        <v>37.995444249675913</v>
      </c>
      <c r="R31" s="29"/>
      <c r="S31" s="29"/>
      <c r="T31" s="29"/>
    </row>
    <row r="32" spans="1:20" x14ac:dyDescent="0.2">
      <c r="A32" s="48" t="str">
        <f>VLOOKUP("&lt;Zeilentitel_18&gt;",Uebersetzungen!$B$3:$E$54,Uebersetzungen!$B$2+1,FALSE)</f>
        <v>St. Gallen</v>
      </c>
      <c r="B32" s="66">
        <v>436947.99999999424</v>
      </c>
      <c r="C32" s="41">
        <v>0.24636486103242419</v>
      </c>
      <c r="D32" s="11">
        <v>380346.56044871442</v>
      </c>
      <c r="E32" s="41">
        <v>0.68434942643449315</v>
      </c>
      <c r="F32" s="11">
        <v>5573.5122102253627</v>
      </c>
      <c r="G32" s="41">
        <v>15.413092203166711</v>
      </c>
      <c r="H32" s="11">
        <v>16132.306631610727</v>
      </c>
      <c r="I32" s="41">
        <v>9.1602189780698513</v>
      </c>
      <c r="J32" s="12">
        <v>1228.9584952325727</v>
      </c>
      <c r="K32" s="63">
        <v>32.370112827331752</v>
      </c>
      <c r="L32" s="11">
        <v>20078.676137041173</v>
      </c>
      <c r="M32" s="41">
        <v>8.3016349685998332</v>
      </c>
      <c r="N32" s="11">
        <v>80228.61351847442</v>
      </c>
      <c r="O32" s="58">
        <v>3.9566775851731233</v>
      </c>
      <c r="R32" s="29"/>
      <c r="S32" s="29"/>
      <c r="T32" s="29"/>
    </row>
    <row r="33" spans="1:20" x14ac:dyDescent="0.2">
      <c r="A33" s="49" t="str">
        <f>VLOOKUP("&lt;Zeilentitel_19&gt;",Uebersetzungen!$B$3:$E$54,Uebersetzungen!$B$2+1,FALSE)</f>
        <v>Graubünden</v>
      </c>
      <c r="B33" s="70">
        <v>172987.00000000134</v>
      </c>
      <c r="C33" s="71">
        <v>0.30992133630709445</v>
      </c>
      <c r="D33" s="13">
        <v>126671.74787191574</v>
      </c>
      <c r="E33" s="71">
        <v>1.6587689053366212</v>
      </c>
      <c r="F33" s="13">
        <v>1994.1375968422526</v>
      </c>
      <c r="G33" s="71">
        <v>25.495232563052383</v>
      </c>
      <c r="H33" s="13">
        <v>22810.846784402642</v>
      </c>
      <c r="I33" s="71">
        <v>7.1815214127057629</v>
      </c>
      <c r="J33" s="13">
        <v>24374.768809083918</v>
      </c>
      <c r="K33" s="71">
        <v>6.7304740925670652</v>
      </c>
      <c r="L33" s="13">
        <v>6632.5723865564569</v>
      </c>
      <c r="M33" s="71">
        <v>14.378905271388668</v>
      </c>
      <c r="N33" s="13">
        <v>20813.431100276564</v>
      </c>
      <c r="O33" s="72">
        <v>7.9967555525695486</v>
      </c>
      <c r="R33" s="29"/>
      <c r="S33" s="29"/>
      <c r="T33" s="29"/>
    </row>
    <row r="34" spans="1:20" x14ac:dyDescent="0.2">
      <c r="A34" s="48" t="str">
        <f>VLOOKUP("&lt;Zeilentitel_20&gt;",Uebersetzungen!$B$3:$E$54,Uebersetzungen!$B$2+1,FALSE)</f>
        <v>Aargau</v>
      </c>
      <c r="B34" s="66">
        <v>592753.99999999697</v>
      </c>
      <c r="C34" s="41">
        <v>0.14774617140972246</v>
      </c>
      <c r="D34" s="11">
        <v>503623.27845031128</v>
      </c>
      <c r="E34" s="41">
        <v>0.43914095496585009</v>
      </c>
      <c r="F34" s="11">
        <v>11785.546721790355</v>
      </c>
      <c r="G34" s="41">
        <v>7.2753949933849871</v>
      </c>
      <c r="H34" s="11">
        <v>30446.062727750366</v>
      </c>
      <c r="I34" s="41">
        <v>4.5948594772226636</v>
      </c>
      <c r="J34" s="11">
        <v>960.62153994684411</v>
      </c>
      <c r="K34" s="41">
        <v>26.141575627932813</v>
      </c>
      <c r="L34" s="11">
        <v>35150.747066634678</v>
      </c>
      <c r="M34" s="41">
        <v>4.2783173793955704</v>
      </c>
      <c r="N34" s="11">
        <v>114136.53521330147</v>
      </c>
      <c r="O34" s="58">
        <v>2.3269923069264404</v>
      </c>
      <c r="R34" s="29"/>
      <c r="S34" s="29"/>
      <c r="T34" s="29"/>
    </row>
    <row r="35" spans="1:20" x14ac:dyDescent="0.2">
      <c r="A35" s="48" t="str">
        <f>VLOOKUP("&lt;Zeilentitel_21&gt;",Uebersetzungen!$B$3:$E$54,Uebersetzungen!$B$2+1,FALSE)</f>
        <v>Thurgau</v>
      </c>
      <c r="B35" s="66">
        <v>241240.99999999942</v>
      </c>
      <c r="C35" s="41">
        <v>0.2286437343639349</v>
      </c>
      <c r="D35" s="11">
        <v>213067.20087669804</v>
      </c>
      <c r="E35" s="41">
        <v>0.60128963740389363</v>
      </c>
      <c r="F35" s="11">
        <v>2846.0036801208889</v>
      </c>
      <c r="G35" s="41">
        <v>15.062814824420792</v>
      </c>
      <c r="H35" s="11">
        <v>9756.039828179486</v>
      </c>
      <c r="I35" s="41">
        <v>8.2437115065185278</v>
      </c>
      <c r="J35" s="12">
        <v>524.81159126278692</v>
      </c>
      <c r="K35" s="63">
        <v>35.037711092583898</v>
      </c>
      <c r="L35" s="11">
        <v>10442.464261434045</v>
      </c>
      <c r="M35" s="41">
        <v>8.0071599423348605</v>
      </c>
      <c r="N35" s="11">
        <v>38293.489925544345</v>
      </c>
      <c r="O35" s="58">
        <v>4.0876829569327269</v>
      </c>
      <c r="R35" s="29"/>
      <c r="S35" s="29"/>
      <c r="T35" s="29"/>
    </row>
    <row r="36" spans="1:20" x14ac:dyDescent="0.2">
      <c r="A36" s="48" t="str">
        <f>VLOOKUP("&lt;Zeilentitel_22&gt;",Uebersetzungen!$B$3:$E$54,Uebersetzungen!$B$2+1,FALSE)</f>
        <v>Tessin</v>
      </c>
      <c r="B36" s="66">
        <v>303163.00000000221</v>
      </c>
      <c r="C36" s="41">
        <v>0.17623012132822213</v>
      </c>
      <c r="D36" s="11">
        <v>29225.728703763441</v>
      </c>
      <c r="E36" s="41">
        <v>4.3621823870852339</v>
      </c>
      <c r="F36" s="11">
        <v>12766.553223478089</v>
      </c>
      <c r="G36" s="41">
        <v>6.8416236233659689</v>
      </c>
      <c r="H36" s="11">
        <v>266939.09187222691</v>
      </c>
      <c r="I36" s="41">
        <v>0.55919457688418983</v>
      </c>
      <c r="J36" s="12">
        <v>148.03061028836811</v>
      </c>
      <c r="K36" s="63">
        <v>63.52267198901648</v>
      </c>
      <c r="L36" s="11">
        <v>11937.494066930331</v>
      </c>
      <c r="M36" s="41">
        <v>7.4087437251178008</v>
      </c>
      <c r="N36" s="11">
        <v>38234.292883967057</v>
      </c>
      <c r="O36" s="58">
        <v>4.0103127465862709</v>
      </c>
      <c r="R36" s="29"/>
      <c r="S36" s="29"/>
      <c r="T36" s="29"/>
    </row>
    <row r="37" spans="1:20" x14ac:dyDescent="0.2">
      <c r="A37" s="48" t="str">
        <f>VLOOKUP("&lt;Zeilentitel_23&gt;",Uebersetzungen!$B$3:$E$54,Uebersetzungen!$B$2+1,FALSE)</f>
        <v>Waadt</v>
      </c>
      <c r="B37" s="66">
        <v>678299.99999999476</v>
      </c>
      <c r="C37" s="41">
        <v>0.14318553783248761</v>
      </c>
      <c r="D37" s="11">
        <v>33261.846131175582</v>
      </c>
      <c r="E37" s="41">
        <v>4.1634432732505537</v>
      </c>
      <c r="F37" s="11">
        <v>557012.43087360717</v>
      </c>
      <c r="G37" s="41">
        <v>0.46355057145591694</v>
      </c>
      <c r="H37" s="11">
        <v>32931.201945380963</v>
      </c>
      <c r="I37" s="41">
        <v>4.3158213070806184</v>
      </c>
      <c r="J37" s="12">
        <v>329.33280975186506</v>
      </c>
      <c r="K37" s="63">
        <v>45.289136831922846</v>
      </c>
      <c r="L37" s="11">
        <v>61878.452575339004</v>
      </c>
      <c r="M37" s="41">
        <v>3.1695799023523015</v>
      </c>
      <c r="N37" s="11">
        <v>150761.5326334741</v>
      </c>
      <c r="O37" s="58">
        <v>1.9399833922077834</v>
      </c>
      <c r="R37" s="29"/>
      <c r="S37" s="29"/>
      <c r="T37" s="29"/>
    </row>
    <row r="38" spans="1:20" x14ac:dyDescent="0.2">
      <c r="A38" s="48" t="str">
        <f>VLOOKUP("&lt;Zeilentitel_24&gt;",Uebersetzungen!$B$3:$E$54,Uebersetzungen!$B$2+1,FALSE)</f>
        <v>Wallis</v>
      </c>
      <c r="B38" s="66">
        <v>299210.00000000099</v>
      </c>
      <c r="C38" s="41">
        <v>0.29170246422486024</v>
      </c>
      <c r="D38" s="11">
        <v>71781.51183678415</v>
      </c>
      <c r="E38" s="41">
        <v>3.6785556653164631</v>
      </c>
      <c r="F38" s="11">
        <v>201084.33946898149</v>
      </c>
      <c r="G38" s="41">
        <v>1.4816972373567716</v>
      </c>
      <c r="H38" s="11">
        <v>13141.944119453312</v>
      </c>
      <c r="I38" s="41">
        <v>10.116912289003904</v>
      </c>
      <c r="J38" s="11" t="s">
        <v>234</v>
      </c>
      <c r="K38" s="41" t="s">
        <v>234</v>
      </c>
      <c r="L38" s="11">
        <v>13926.105247994183</v>
      </c>
      <c r="M38" s="41">
        <v>9.7380992643871718</v>
      </c>
      <c r="N38" s="11">
        <v>47755.466029305797</v>
      </c>
      <c r="O38" s="58">
        <v>5.172127285816309</v>
      </c>
    </row>
    <row r="39" spans="1:20" x14ac:dyDescent="0.2">
      <c r="A39" s="48" t="str">
        <f>VLOOKUP("&lt;Zeilentitel_25&gt;",Uebersetzungen!$B$3:$E$54,Uebersetzungen!$B$2+1,FALSE)</f>
        <v>Neuenburg</v>
      </c>
      <c r="B39" s="66">
        <v>147269.99999999773</v>
      </c>
      <c r="C39" s="41">
        <v>0.30607967779649231</v>
      </c>
      <c r="D39" s="11">
        <v>6369.3946788475478</v>
      </c>
      <c r="E39" s="41">
        <v>9.5090910221478886</v>
      </c>
      <c r="F39" s="11">
        <v>128984.99157137325</v>
      </c>
      <c r="G39" s="41">
        <v>0.79323653122461912</v>
      </c>
      <c r="H39" s="11">
        <v>7072.1565705927396</v>
      </c>
      <c r="I39" s="41">
        <v>9.4431746080355872</v>
      </c>
      <c r="J39" s="11" t="s">
        <v>234</v>
      </c>
      <c r="K39" s="41" t="s">
        <v>234</v>
      </c>
      <c r="L39" s="11">
        <v>7065.3826169015083</v>
      </c>
      <c r="M39" s="41">
        <v>9.6223154537982012</v>
      </c>
      <c r="N39" s="11">
        <v>26563.587163857115</v>
      </c>
      <c r="O39" s="58">
        <v>4.7527482764572389</v>
      </c>
    </row>
    <row r="40" spans="1:20" x14ac:dyDescent="0.2">
      <c r="A40" s="48" t="str">
        <f>VLOOKUP("&lt;Zeilentitel_26&gt;",Uebersetzungen!$B$3:$E$54,Uebersetzungen!$B$2+1,FALSE)</f>
        <v>Genf</v>
      </c>
      <c r="B40" s="66">
        <v>392799.99999999523</v>
      </c>
      <c r="C40" s="41">
        <v>0.23111712258114572</v>
      </c>
      <c r="D40" s="11">
        <v>14214.993718441756</v>
      </c>
      <c r="E40" s="41">
        <v>6.6081225144906695</v>
      </c>
      <c r="F40" s="11">
        <v>310703.2779448136</v>
      </c>
      <c r="G40" s="41">
        <v>0.70483705952481712</v>
      </c>
      <c r="H40" s="11">
        <v>22250.45400190894</v>
      </c>
      <c r="I40" s="41">
        <v>5.3886178391190249</v>
      </c>
      <c r="J40" s="12">
        <v>254.96248791809617</v>
      </c>
      <c r="K40" s="63">
        <v>54.147936426737374</v>
      </c>
      <c r="L40" s="11">
        <v>46314.013683282479</v>
      </c>
      <c r="M40" s="41">
        <v>3.7370310454715239</v>
      </c>
      <c r="N40" s="11">
        <v>114274.64468907255</v>
      </c>
      <c r="O40" s="58">
        <v>2.2035252976180044</v>
      </c>
    </row>
    <row r="41" spans="1:20" ht="13.5" thickBot="1" x14ac:dyDescent="0.25">
      <c r="A41" s="50" t="str">
        <f>VLOOKUP("&lt;Zeilentitel_27&gt;",Uebersetzungen!$B$3:$E$54,Uebersetzungen!$B$2+1,FALSE)</f>
        <v>Jura</v>
      </c>
      <c r="B41" s="67">
        <v>61633.999999999753</v>
      </c>
      <c r="C41" s="62">
        <v>0.65787418006002518</v>
      </c>
      <c r="D41" s="17">
        <v>4544.1514997635268</v>
      </c>
      <c r="E41" s="62">
        <v>16.231047866198068</v>
      </c>
      <c r="F41" s="17">
        <v>55694.519102079284</v>
      </c>
      <c r="G41" s="62">
        <v>1.5796401475584787</v>
      </c>
      <c r="H41" s="69">
        <v>1625.9388103709957</v>
      </c>
      <c r="I41" s="64">
        <v>28.396822622601562</v>
      </c>
      <c r="J41" s="17" t="s">
        <v>234</v>
      </c>
      <c r="K41" s="62" t="s">
        <v>234</v>
      </c>
      <c r="L41" s="69">
        <v>1655.4540617855571</v>
      </c>
      <c r="M41" s="64">
        <v>28.75213032386198</v>
      </c>
      <c r="N41" s="17">
        <v>6678.5915742969273</v>
      </c>
      <c r="O41" s="60">
        <v>14.617626001244831</v>
      </c>
    </row>
    <row r="43" spans="1:20" x14ac:dyDescent="0.2">
      <c r="A43" s="16" t="str">
        <f>VLOOKUP("&lt;Legende_1&gt;",Uebersetzungen!$B$3:$E$54,Uebersetzungen!$B$2+1,FALSE)</f>
        <v>Die Befragten konnten mehrere Hauptsprachen nennen.</v>
      </c>
    </row>
    <row r="44" spans="1:20" x14ac:dyDescent="0.2">
      <c r="A44" s="16" t="str">
        <f>VLOOKUP("&lt;Legende_2&gt;",Uebersetzungen!$B$3:$E$54,Uebersetzungen!$B$2+1,FALSE)</f>
        <v>(): Extrapolation aufgrund von 49 oder weniger Beobachtungen. Die Resultate sind mit grosser Vorsicht zu interpretieren.</v>
      </c>
    </row>
    <row r="45" spans="1:20" x14ac:dyDescent="0.2">
      <c r="A45" s="16" t="str">
        <f>VLOOKUP("&lt;Legende_3&gt;",Uebersetzungen!$B$3:$E$54,Uebersetzungen!$B$2+1,FALSE)</f>
        <v>X: Extrapolation aufgrund von 4 oder weniger Beobachtungen. Die Resultate werden aus Gründen des Datenschutzes nicht publiziert.</v>
      </c>
    </row>
    <row r="46" spans="1:20" x14ac:dyDescent="0.2">
      <c r="A46" s="16" t="str">
        <f>VLOOKUP("&lt;Legende_4&gt;",Uebersetzungen!$B$3:$E$54,Uebersetzungen!$B$2+1,FALSE)</f>
        <v>Die Grundgesamtheit der Strukturerhebung enthält alle Personen der ständigen Wohnbevölkerung ab vollendetem 15. Altersjahr, die in Privathaushalten leben.</v>
      </c>
    </row>
    <row r="47" spans="1:20" x14ac:dyDescent="0.2">
      <c r="A47" s="7"/>
    </row>
    <row r="48" spans="1:20" x14ac:dyDescent="0.2">
      <c r="A48" s="7" t="str">
        <f>VLOOKUP("&lt;Quelle_1&gt;",Uebersetzungen!$B$3:$E$54,Uebersetzungen!$B$2+1,FALSE)</f>
        <v>Quelle: BFS (Strukturerhebung)</v>
      </c>
    </row>
    <row r="49" spans="1:15" x14ac:dyDescent="0.2">
      <c r="A49" s="16" t="str">
        <f>VLOOKUP("&lt;Aktualisierung&gt;",Uebersetzungen!$B$3:$E$54,Uebersetzungen!$B$2+1,FALSE)</f>
        <v>Letztmals aktualisiert am: 18.03.2024</v>
      </c>
    </row>
    <row r="50" spans="1:15" x14ac:dyDescent="0.2">
      <c r="B50" s="9"/>
      <c r="N50" s="9"/>
    </row>
    <row r="52" spans="1:15" x14ac:dyDescent="0.2">
      <c r="B52" s="10"/>
      <c r="N52" s="10"/>
    </row>
    <row r="53" spans="1:15" x14ac:dyDescent="0.2">
      <c r="N53" s="9"/>
      <c r="O53" s="9"/>
    </row>
  </sheetData>
  <sheetProtection sheet="1" objects="1" scenarios="1"/>
  <mergeCells count="10">
    <mergeCell ref="A13:A14"/>
    <mergeCell ref="B13:C13"/>
    <mergeCell ref="L13:M13"/>
    <mergeCell ref="N13:O13"/>
    <mergeCell ref="A7:L7"/>
    <mergeCell ref="B12:O12"/>
    <mergeCell ref="J13:K13"/>
    <mergeCell ref="D13:E13"/>
    <mergeCell ref="F13:G13"/>
    <mergeCell ref="H13:I13"/>
  </mergeCells>
  <pageMargins left="0.7" right="0.7" top="0.78740157499999996" bottom="0.78740157499999996" header="0.3" footer="0.3"/>
  <pageSetup paperSize="9" scale="46" orientation="portrait" r:id="rId1"/>
  <colBreaks count="1" manualBreakCount="1">
    <brk id="16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6</xdr:col>
                    <xdr:colOff>361950</xdr:colOff>
                    <xdr:row>1</xdr:row>
                    <xdr:rowOff>114300</xdr:rowOff>
                  </from>
                  <to>
                    <xdr:col>7</xdr:col>
                    <xdr:colOff>676275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6</xdr:col>
                    <xdr:colOff>361950</xdr:colOff>
                    <xdr:row>2</xdr:row>
                    <xdr:rowOff>104775</xdr:rowOff>
                  </from>
                  <to>
                    <xdr:col>8</xdr:col>
                    <xdr:colOff>276225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6</xdr:col>
                    <xdr:colOff>361950</xdr:colOff>
                    <xdr:row>3</xdr:row>
                    <xdr:rowOff>66675</xdr:rowOff>
                  </from>
                  <to>
                    <xdr:col>7</xdr:col>
                    <xdr:colOff>676275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0"/>
  <sheetViews>
    <sheetView showGridLines="0" zoomScaleNormal="100" workbookViewId="0"/>
  </sheetViews>
  <sheetFormatPr baseColWidth="10" defaultRowHeight="12.75" x14ac:dyDescent="0.2"/>
  <cols>
    <col min="1" max="1" width="29.75" style="6" customWidth="1"/>
    <col min="2" max="2" width="33.25" style="6" customWidth="1"/>
    <col min="3" max="16" width="9.5" style="6" customWidth="1"/>
    <col min="17" max="16384" width="11" style="6"/>
  </cols>
  <sheetData>
    <row r="1" spans="1:17" s="1" customFormat="1" x14ac:dyDescent="0.2"/>
    <row r="2" spans="1:17" s="1" customFormat="1" ht="15.75" x14ac:dyDescent="0.25">
      <c r="B2" s="2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7" s="1" customFormat="1" ht="15.75" x14ac:dyDescent="0.25">
      <c r="B3" s="2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7" s="1" customFormat="1" ht="15.75" x14ac:dyDescent="0.25">
      <c r="B4" s="2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7" s="1" customFormat="1" x14ac:dyDescent="0.2"/>
    <row r="6" spans="1:17" s="1" customFormat="1" x14ac:dyDescent="0.2"/>
    <row r="7" spans="1:17" s="1" customFormat="1" ht="15.75" customHeight="1" x14ac:dyDescent="0.2">
      <c r="A7" s="98" t="str">
        <f>VLOOKUP("&lt;Fachbereich&gt;",Uebersetzungen!$B$3:$E$32,Uebersetzungen!$B$2+1,FALSE)</f>
        <v>Daten &amp; Statistik</v>
      </c>
      <c r="B7" s="98"/>
      <c r="C7" s="98"/>
      <c r="D7" s="98"/>
      <c r="E7" s="40"/>
      <c r="F7" s="40"/>
      <c r="G7" s="45"/>
      <c r="H7" s="45"/>
      <c r="I7" s="45"/>
      <c r="J7" s="45"/>
      <c r="K7" s="45"/>
      <c r="L7" s="45"/>
      <c r="M7" s="15"/>
      <c r="N7" s="15"/>
      <c r="O7" s="15"/>
      <c r="P7" s="15"/>
      <c r="Q7" s="15"/>
    </row>
    <row r="8" spans="1:17" s="1" customFormat="1" x14ac:dyDescent="0.2"/>
    <row r="9" spans="1:17" ht="18" x14ac:dyDescent="0.2">
      <c r="A9" s="3" t="str">
        <f>VLOOKUP("&lt;T2Titel&gt;",Uebersetzungen!$B$3:$E$113,Uebersetzungen!$B$2+1,FALSE)</f>
        <v>Ständige Wohnbevölkerung nach Hauptsprachen in Graubünden</v>
      </c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7" x14ac:dyDescent="0.2">
      <c r="A10" s="7" t="str">
        <f>VLOOKUP("&lt;T2UTitel&gt;",Uebersetzungen!$B$3:$E$113,Uebersetzungen!$B$2+1,FALSE)</f>
        <v>Ständige Wohnbevölkerung ab 15 Jahren</v>
      </c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7" ht="13.5" thickBot="1" x14ac:dyDescent="0.25">
      <c r="A11" s="7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7" ht="18" x14ac:dyDescent="0.25">
      <c r="A12" s="8"/>
      <c r="B12" s="8"/>
      <c r="C12" s="109">
        <v>2022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1"/>
    </row>
    <row r="13" spans="1:17" ht="37.5" customHeight="1" x14ac:dyDescent="0.2">
      <c r="B13" s="104"/>
      <c r="C13" s="106" t="str">
        <f>VLOOKUP("&lt;SpaltenTitel_1&gt;",Uebersetzungen!$B$3:$E$32,Uebersetzungen!$B$2+1,FALSE)</f>
        <v>Total</v>
      </c>
      <c r="D13" s="107"/>
      <c r="E13" s="107" t="str">
        <f>VLOOKUP("&lt;SpaltenTitel_2&gt;",Uebersetzungen!$B$3:$E$32,Uebersetzungen!$B$2+1,FALSE)</f>
        <v>Deutsch (oder Schweizerdeutsch)</v>
      </c>
      <c r="F13" s="107"/>
      <c r="G13" s="107" t="str">
        <f>VLOOKUP("&lt;SpaltenTitel_3&gt;",Uebersetzungen!$B$3:$E$32,Uebersetzungen!$B$2+1,FALSE)</f>
        <v>Französisch (oder Patois Romand)</v>
      </c>
      <c r="H13" s="107"/>
      <c r="I13" s="107" t="str">
        <f>VLOOKUP("&lt;SpaltenTitel_4&gt;",Uebersetzungen!$B$3:$E$32,Uebersetzungen!$B$2+1,FALSE)</f>
        <v>Italienisch (oder Tessiner/Bündner-italienischer Dialekt)</v>
      </c>
      <c r="J13" s="107"/>
      <c r="K13" s="107" t="str">
        <f>VLOOKUP("&lt;SpaltenTitel_5&gt;",Uebersetzungen!$B$3:$E$32,Uebersetzungen!$B$2+1,FALSE)</f>
        <v>Rätoromanisch</v>
      </c>
      <c r="L13" s="107"/>
      <c r="M13" s="107" t="str">
        <f>VLOOKUP("&lt;SpaltenTitel_6&gt;",Uebersetzungen!$B$3:$E$32,Uebersetzungen!$B$2+1,FALSE)</f>
        <v>Englisch</v>
      </c>
      <c r="N13" s="107"/>
      <c r="O13" s="107" t="str">
        <f>VLOOKUP("&lt;SpaltenTitel_7&gt;",Uebersetzungen!$B$3:$E$32,Uebersetzungen!$B$2+1,FALSE)</f>
        <v>Andere Sprache/n</v>
      </c>
      <c r="P13" s="108"/>
    </row>
    <row r="14" spans="1:17" ht="39" thickBot="1" x14ac:dyDescent="0.25">
      <c r="B14" s="105"/>
      <c r="C14" s="88" t="str">
        <f>VLOOKUP("&lt;SpaltenTitel_1.1&gt;",Uebersetzungen!$B$3:$E$32,Uebersetzungen!$B$2+1,FALSE)</f>
        <v>Anzahl Personen</v>
      </c>
      <c r="D14" s="87" t="str">
        <f>VLOOKUP("&lt;SpaltenTitel_1.2&gt;",Uebersetzungen!$B$3:$E$32,Uebersetzungen!$B$2+1,FALSE)</f>
        <v>Vertrauens- intervall: 
± (in %)</v>
      </c>
      <c r="E14" s="79" t="str">
        <f>VLOOKUP("&lt;SpaltenTitel_1.1&gt;",Uebersetzungen!$B$3:$E$32,Uebersetzungen!$B$2+1,FALSE)</f>
        <v>Anzahl Personen</v>
      </c>
      <c r="F14" s="78" t="str">
        <f>VLOOKUP("&lt;SpaltenTitel_1.2&gt;",Uebersetzungen!$B$3:$E$32,Uebersetzungen!$B$2+1,FALSE)</f>
        <v>Vertrauens- intervall: 
± (in %)</v>
      </c>
      <c r="G14" s="80" t="str">
        <f>VLOOKUP("&lt;SpaltenTitel_1.1&gt;",Uebersetzungen!$B$3:$E$32,Uebersetzungen!$B$2+1,FALSE)</f>
        <v>Anzahl Personen</v>
      </c>
      <c r="H14" s="78" t="str">
        <f>VLOOKUP("&lt;SpaltenTitel_1.2&gt;",Uebersetzungen!$B$3:$E$32,Uebersetzungen!$B$2+1,FALSE)</f>
        <v>Vertrauens- intervall: 
± (in %)</v>
      </c>
      <c r="I14" s="81" t="str">
        <f>VLOOKUP("&lt;SpaltenTitel_1.1&gt;",Uebersetzungen!$B$3:$E$32,Uebersetzungen!$B$2+1,FALSE)</f>
        <v>Anzahl Personen</v>
      </c>
      <c r="J14" s="87" t="str">
        <f>VLOOKUP("&lt;SpaltenTitel_1.2&gt;",Uebersetzungen!$B$3:$E$32,Uebersetzungen!$B$2+1,FALSE)</f>
        <v>Vertrauens- intervall: 
± (in %)</v>
      </c>
      <c r="K14" s="81" t="str">
        <f>VLOOKUP("&lt;SpaltenTitel_1.1&gt;",Uebersetzungen!$B$3:$E$32,Uebersetzungen!$B$2+1,FALSE)</f>
        <v>Anzahl Personen</v>
      </c>
      <c r="L14" s="87" t="str">
        <f>VLOOKUP("&lt;SpaltenTitel_1.2&gt;",Uebersetzungen!$B$3:$E$32,Uebersetzungen!$B$2+1,FALSE)</f>
        <v>Vertrauens- intervall: 
± (in %)</v>
      </c>
      <c r="M14" s="81" t="str">
        <f>VLOOKUP("&lt;SpaltenTitel_1.1&gt;",Uebersetzungen!$B$3:$E$32,Uebersetzungen!$B$2+1,FALSE)</f>
        <v>Anzahl Personen</v>
      </c>
      <c r="N14" s="87" t="str">
        <f>VLOOKUP("&lt;SpaltenTitel_1.2&gt;",Uebersetzungen!$B$3:$E$32,Uebersetzungen!$B$2+1,FALSE)</f>
        <v>Vertrauens- intervall: 
± (in %)</v>
      </c>
      <c r="O14" s="81" t="str">
        <f>VLOOKUP("&lt;SpaltenTitel_1.1&gt;",Uebersetzungen!$B$3:$E$32,Uebersetzungen!$B$2+1,FALSE)</f>
        <v>Anzahl Personen</v>
      </c>
      <c r="P14" s="82" t="str">
        <f>VLOOKUP("&lt;SpaltenTitel_1.2&gt;",Uebersetzungen!$B$3:$E$32,Uebersetzungen!$B$2+1,FALSE)</f>
        <v>Vertrauens- intervall: 
± (in %)</v>
      </c>
    </row>
    <row r="15" spans="1:17" ht="14.25" customHeight="1" x14ac:dyDescent="0.2">
      <c r="A15" s="33" t="str">
        <f>VLOOKUP("&lt;T2Zeilentitel_1&gt;",Uebersetzungen!$B$3:$E$105,Uebersetzungen!$B$2+1,FALSE)</f>
        <v>Total</v>
      </c>
      <c r="B15" s="73"/>
      <c r="C15" s="89">
        <v>172987.00000000114</v>
      </c>
      <c r="D15" s="83">
        <v>0.30992133630712848</v>
      </c>
      <c r="E15" s="92">
        <v>126671.74787191552</v>
      </c>
      <c r="F15" s="83">
        <v>1.6587689053366357</v>
      </c>
      <c r="G15" s="92">
        <v>1994.1375968422528</v>
      </c>
      <c r="H15" s="83">
        <v>25.49523256305239</v>
      </c>
      <c r="I15" s="92">
        <v>22810.846784402616</v>
      </c>
      <c r="J15" s="83">
        <v>7.1815214127057709</v>
      </c>
      <c r="K15" s="92">
        <v>24374.768809083944</v>
      </c>
      <c r="L15" s="83">
        <v>6.7304740925670581</v>
      </c>
      <c r="M15" s="92">
        <v>6632.572386556456</v>
      </c>
      <c r="N15" s="83">
        <v>14.378905271388669</v>
      </c>
      <c r="O15" s="92">
        <v>20813.431100276539</v>
      </c>
      <c r="P15" s="83">
        <v>7.9967555525695584</v>
      </c>
    </row>
    <row r="16" spans="1:17" x14ac:dyDescent="0.2">
      <c r="A16" s="34" t="str">
        <f>VLOOKUP("&lt;T2Zeilentitel_2&gt;",Uebersetzungen!$B$3:$E$105,Uebersetzungen!$B$2+1,FALSE)</f>
        <v>Geschlecht</v>
      </c>
      <c r="B16" s="74" t="str">
        <f>VLOOKUP("&lt;T2Zeilentitel_2.1&gt;",Uebersetzungen!$B$3:$E$105,Uebersetzungen!$B$2+1,FALSE)</f>
        <v>Männer</v>
      </c>
      <c r="C16" s="66">
        <v>86763.000000001208</v>
      </c>
      <c r="D16" s="41">
        <v>2.8238600372240734</v>
      </c>
      <c r="E16" s="11">
        <v>62359.565072700614</v>
      </c>
      <c r="F16" s="41">
        <v>3.6993079586006075</v>
      </c>
      <c r="G16" s="12">
        <v>954.66136986076867</v>
      </c>
      <c r="H16" s="63">
        <v>37.628124549412334</v>
      </c>
      <c r="I16" s="11">
        <v>12094.270870442277</v>
      </c>
      <c r="J16" s="41">
        <v>10.297282650290301</v>
      </c>
      <c r="K16" s="11">
        <v>12406.637326233764</v>
      </c>
      <c r="L16" s="41">
        <v>9.8293111494180607</v>
      </c>
      <c r="M16" s="11">
        <v>3997.619327329684</v>
      </c>
      <c r="N16" s="41">
        <v>18.946804834307681</v>
      </c>
      <c r="O16" s="11">
        <v>10386.317147394777</v>
      </c>
      <c r="P16" s="58">
        <v>11.858046023001625</v>
      </c>
    </row>
    <row r="17" spans="1:16" x14ac:dyDescent="0.2">
      <c r="A17" s="35"/>
      <c r="B17" s="75" t="str">
        <f>VLOOKUP("&lt;T2Zeilentitel_2.2&gt;",Uebersetzungen!$B$3:$E$105,Uebersetzungen!$B$2+1,FALSE)</f>
        <v>Frauen</v>
      </c>
      <c r="C17" s="90">
        <v>86223.999999999927</v>
      </c>
      <c r="D17" s="85">
        <v>2.7581960888754864</v>
      </c>
      <c r="E17" s="43">
        <v>64312.182799214905</v>
      </c>
      <c r="F17" s="85">
        <v>3.5421227805773694</v>
      </c>
      <c r="G17" s="44">
        <v>1039.4762269814842</v>
      </c>
      <c r="H17" s="86">
        <v>34.812643937673208</v>
      </c>
      <c r="I17" s="43">
        <v>10716.575913960338</v>
      </c>
      <c r="J17" s="85">
        <v>10.759893507489146</v>
      </c>
      <c r="K17" s="43">
        <v>11968.131482850178</v>
      </c>
      <c r="L17" s="85">
        <v>9.9914519260704644</v>
      </c>
      <c r="M17" s="43">
        <v>2634.953059226772</v>
      </c>
      <c r="N17" s="85">
        <v>22.511624522192186</v>
      </c>
      <c r="O17" s="43">
        <v>10427.113952881764</v>
      </c>
      <c r="P17" s="84">
        <v>11.420079618035054</v>
      </c>
    </row>
    <row r="18" spans="1:16" x14ac:dyDescent="0.2">
      <c r="A18" s="36" t="str">
        <f>VLOOKUP("&lt;T2Zeilentitel_3&gt;",Uebersetzungen!$B$3:$E$105,Uebersetzungen!$B$2+1,FALSE)</f>
        <v>Alter</v>
      </c>
      <c r="B18" s="29" t="str">
        <f>VLOOKUP("&lt;T2Zeilentitel_3.1&gt;",Uebersetzungen!$B$3:$E$105,Uebersetzungen!$B$2+1,FALSE)</f>
        <v>15-24</v>
      </c>
      <c r="C18" s="66">
        <v>18891.000000000175</v>
      </c>
      <c r="D18" s="41">
        <v>8.1326481053992357</v>
      </c>
      <c r="E18" s="11">
        <v>14623.095588113605</v>
      </c>
      <c r="F18" s="41">
        <v>9.2490745989617889</v>
      </c>
      <c r="G18" s="11" t="s">
        <v>234</v>
      </c>
      <c r="H18" s="41" t="s">
        <v>234</v>
      </c>
      <c r="I18" s="11">
        <v>2447.5201617016896</v>
      </c>
      <c r="J18" s="41">
        <v>23.829745149099374</v>
      </c>
      <c r="K18" s="11">
        <v>2530.9195285779429</v>
      </c>
      <c r="L18" s="41">
        <v>22.701119904692945</v>
      </c>
      <c r="M18" s="12">
        <v>1401.4052768929641</v>
      </c>
      <c r="N18" s="63">
        <v>32.65099957592718</v>
      </c>
      <c r="O18" s="11">
        <v>2443.5785980576279</v>
      </c>
      <c r="P18" s="58">
        <v>25.604804051821009</v>
      </c>
    </row>
    <row r="19" spans="1:16" x14ac:dyDescent="0.2">
      <c r="A19" s="37"/>
      <c r="B19" s="76" t="str">
        <f>VLOOKUP("&lt;T2Zeilentitel_3.2&gt;",Uebersetzungen!$B$3:$E$105,Uebersetzungen!$B$2+1,FALSE)</f>
        <v>25-44</v>
      </c>
      <c r="C19" s="66">
        <v>50864.000000000393</v>
      </c>
      <c r="D19" s="41">
        <v>4.4311277725070441</v>
      </c>
      <c r="E19" s="11">
        <v>35682.990685229583</v>
      </c>
      <c r="F19" s="41">
        <v>5.5371493616751994</v>
      </c>
      <c r="G19" s="12">
        <v>406.0797999950305</v>
      </c>
      <c r="H19" s="63">
        <v>59.792297920334825</v>
      </c>
      <c r="I19" s="11">
        <v>6866.5100622540358</v>
      </c>
      <c r="J19" s="41">
        <v>13.964255998597846</v>
      </c>
      <c r="K19" s="11">
        <v>6502.7963912359874</v>
      </c>
      <c r="L19" s="41">
        <v>14.15532923689619</v>
      </c>
      <c r="M19" s="11">
        <v>2410.404364700652</v>
      </c>
      <c r="N19" s="41">
        <v>24.747656883606272</v>
      </c>
      <c r="O19" s="11">
        <v>8426.4270595947946</v>
      </c>
      <c r="P19" s="58">
        <v>13.116702223663401</v>
      </c>
    </row>
    <row r="20" spans="1:16" x14ac:dyDescent="0.2">
      <c r="A20" s="38"/>
      <c r="B20" s="76" t="str">
        <f>VLOOKUP("&lt;T2Zeilentitel_3.3&gt;",Uebersetzungen!$B$3:$E$105,Uebersetzungen!$B$2+1,FALSE)</f>
        <v>45-64</v>
      </c>
      <c r="C20" s="66">
        <v>59080.000000000189</v>
      </c>
      <c r="D20" s="41">
        <v>3.8848078343530807</v>
      </c>
      <c r="E20" s="11">
        <v>41988.038999706085</v>
      </c>
      <c r="F20" s="41">
        <v>4.8800222229163914</v>
      </c>
      <c r="G20" s="12">
        <v>720.15602798495456</v>
      </c>
      <c r="H20" s="63">
        <v>42.441243906329959</v>
      </c>
      <c r="I20" s="11">
        <v>8218.4463773033658</v>
      </c>
      <c r="J20" s="41">
        <v>12.593932317553177</v>
      </c>
      <c r="K20" s="11">
        <v>7410.540784701443</v>
      </c>
      <c r="L20" s="41">
        <v>12.934278682805946</v>
      </c>
      <c r="M20" s="12">
        <v>1511.8733405679761</v>
      </c>
      <c r="N20" s="63">
        <v>29.961310430967384</v>
      </c>
      <c r="O20" s="11">
        <v>8046.42233096771</v>
      </c>
      <c r="P20" s="58">
        <v>13.192392958403822</v>
      </c>
    </row>
    <row r="21" spans="1:16" x14ac:dyDescent="0.2">
      <c r="A21" s="38"/>
      <c r="B21" s="76" t="str">
        <f>VLOOKUP("&lt;T2Zeilentitel_3.4&gt;",Uebersetzungen!$B$3:$E$105,Uebersetzungen!$B$2+1,FALSE)</f>
        <v>65 und älter</v>
      </c>
      <c r="C21" s="90">
        <v>44152.000000000502</v>
      </c>
      <c r="D21" s="85">
        <v>4.5017942121198447</v>
      </c>
      <c r="E21" s="43">
        <v>34377.622598866503</v>
      </c>
      <c r="F21" s="85">
        <v>5.2922131326042088</v>
      </c>
      <c r="G21" s="44">
        <v>794.06805282453149</v>
      </c>
      <c r="H21" s="86">
        <v>39.409461352953052</v>
      </c>
      <c r="I21" s="43">
        <v>5278.370183143541</v>
      </c>
      <c r="J21" s="85">
        <v>15.100457693679651</v>
      </c>
      <c r="K21" s="43">
        <v>7930.512104568571</v>
      </c>
      <c r="L21" s="85">
        <v>12.096162260342199</v>
      </c>
      <c r="M21" s="44">
        <v>1308.889404394863</v>
      </c>
      <c r="N21" s="86">
        <v>30.903813582313326</v>
      </c>
      <c r="O21" s="43">
        <v>1897.0031116564123</v>
      </c>
      <c r="P21" s="84">
        <v>26.310569055693279</v>
      </c>
    </row>
    <row r="22" spans="1:16" x14ac:dyDescent="0.2">
      <c r="A22" s="34" t="str">
        <f>VLOOKUP("&lt;T2Zeilentitel_4&gt;",Uebersetzungen!$B$3:$E$105,Uebersetzungen!$B$2+1,FALSE)</f>
        <v>Staatsangehörigkeit</v>
      </c>
      <c r="B22" s="74" t="str">
        <f>VLOOKUP("&lt;T2Zeilentitel_4.1&gt;",Uebersetzungen!$B$3:$E$105,Uebersetzungen!$B$2+1,FALSE)</f>
        <v>Schweiz</v>
      </c>
      <c r="C22" s="66">
        <v>139204.00000000111</v>
      </c>
      <c r="D22" s="41">
        <v>1.2994587979741978</v>
      </c>
      <c r="E22" s="11">
        <v>111468.22998232303</v>
      </c>
      <c r="F22" s="41">
        <v>1.9998546590016049</v>
      </c>
      <c r="G22" s="12">
        <v>1515.4409759675925</v>
      </c>
      <c r="H22" s="63">
        <v>28.817201582922355</v>
      </c>
      <c r="I22" s="11">
        <v>15326.770708322911</v>
      </c>
      <c r="J22" s="41">
        <v>8.7716163130305205</v>
      </c>
      <c r="K22" s="11">
        <v>24024.202765144164</v>
      </c>
      <c r="L22" s="41">
        <v>6.7793283534090287</v>
      </c>
      <c r="M22" s="11">
        <v>3404.8718335332564</v>
      </c>
      <c r="N22" s="41">
        <v>19.306151793883306</v>
      </c>
      <c r="O22" s="11">
        <v>4930.6867104459388</v>
      </c>
      <c r="P22" s="58">
        <v>16.16538159651871</v>
      </c>
    </row>
    <row r="23" spans="1:16" x14ac:dyDescent="0.2">
      <c r="A23" s="36"/>
      <c r="B23" s="76" t="str">
        <f>VLOOKUP("&lt;T2Zeilentitel_4.2&gt;",Uebersetzungen!$B$3:$E$105,Uebersetzungen!$B$2+1,FALSE)</f>
        <v>EU und EFTA</v>
      </c>
      <c r="C23" s="66">
        <v>27064.983765801488</v>
      </c>
      <c r="D23" s="41">
        <v>6.8207002529804068</v>
      </c>
      <c r="E23" s="11">
        <v>13160.932008901505</v>
      </c>
      <c r="F23" s="41">
        <v>10.022197242118517</v>
      </c>
      <c r="G23" s="12">
        <v>444.64968448476395</v>
      </c>
      <c r="H23" s="63">
        <v>57.14586245563472</v>
      </c>
      <c r="I23" s="11">
        <v>7179.5862419094437</v>
      </c>
      <c r="J23" s="41">
        <v>13.995979883830113</v>
      </c>
      <c r="K23" s="12">
        <v>350.56604393975465</v>
      </c>
      <c r="L23" s="63">
        <v>64.776797488928651</v>
      </c>
      <c r="M23" s="12">
        <v>1830.9629127647213</v>
      </c>
      <c r="N23" s="63">
        <v>28.788589651228595</v>
      </c>
      <c r="O23" s="11">
        <v>10718.170702724363</v>
      </c>
      <c r="P23" s="58">
        <v>11.567184072579767</v>
      </c>
    </row>
    <row r="24" spans="1:16" x14ac:dyDescent="0.2">
      <c r="A24" s="36"/>
      <c r="B24" s="76" t="str">
        <f>VLOOKUP("&lt;T2Zeilentitel_4.3&gt;",Uebersetzungen!$B$3:$E$105,Uebersetzungen!$B$2+1,FALSE)</f>
        <v>Anderer europäischer Staat</v>
      </c>
      <c r="C24" s="66">
        <v>3125.918260586051</v>
      </c>
      <c r="D24" s="41">
        <v>22.433578658784249</v>
      </c>
      <c r="E24" s="12">
        <v>863.29070738166547</v>
      </c>
      <c r="F24" s="63">
        <v>42.675435256707097</v>
      </c>
      <c r="G24" s="11" t="s">
        <v>234</v>
      </c>
      <c r="H24" s="41" t="s">
        <v>234</v>
      </c>
      <c r="I24" s="12">
        <v>187.55290316007938</v>
      </c>
      <c r="J24" s="63">
        <v>87.486491874797764</v>
      </c>
      <c r="K24" s="11" t="s">
        <v>234</v>
      </c>
      <c r="L24" s="41" t="s">
        <v>234</v>
      </c>
      <c r="M24" s="12">
        <v>467.90163842899113</v>
      </c>
      <c r="N24" s="63">
        <v>59.395595866465783</v>
      </c>
      <c r="O24" s="11">
        <v>2414.4317941728491</v>
      </c>
      <c r="P24" s="58">
        <v>25.498679517216935</v>
      </c>
    </row>
    <row r="25" spans="1:16" x14ac:dyDescent="0.2">
      <c r="A25" s="36"/>
      <c r="B25" s="76" t="str">
        <f>VLOOKUP("&lt;T2Zeilentitel_4.4&gt;",Uebersetzungen!$B$3:$E$105,Uebersetzungen!$B$2+1,FALSE)</f>
        <v>Andere Staaten</v>
      </c>
      <c r="C25" s="66">
        <v>3592.0979736129125</v>
      </c>
      <c r="D25" s="41">
        <v>20.785204303073488</v>
      </c>
      <c r="E25" s="12">
        <v>1179.2951733093823</v>
      </c>
      <c r="F25" s="63">
        <v>36.819310021432706</v>
      </c>
      <c r="G25" s="11" t="s">
        <v>234</v>
      </c>
      <c r="H25" s="41" t="s">
        <v>234</v>
      </c>
      <c r="I25" s="11" t="s">
        <v>234</v>
      </c>
      <c r="J25" s="41" t="s">
        <v>234</v>
      </c>
      <c r="K25" s="11" t="s">
        <v>234</v>
      </c>
      <c r="L25" s="41" t="s">
        <v>234</v>
      </c>
      <c r="M25" s="12">
        <v>928.83600182948646</v>
      </c>
      <c r="N25" s="63">
        <v>40.796842805984177</v>
      </c>
      <c r="O25" s="11">
        <v>2750.1418929333977</v>
      </c>
      <c r="P25" s="58">
        <v>23.901612608125859</v>
      </c>
    </row>
    <row r="26" spans="1:16" x14ac:dyDescent="0.2">
      <c r="A26" s="35"/>
      <c r="B26" s="76" t="str">
        <f>VLOOKUP("&lt;T2Zeilentitel_4.5&gt;",Uebersetzungen!$B$3:$E$105,Uebersetzungen!$B$2+1,FALSE)</f>
        <v>Staatsangehörigkeit unbekannt</v>
      </c>
      <c r="C26" s="90" t="s">
        <v>234</v>
      </c>
      <c r="D26" s="85" t="s">
        <v>234</v>
      </c>
      <c r="E26" s="43" t="s">
        <v>234</v>
      </c>
      <c r="F26" s="85" t="s">
        <v>234</v>
      </c>
      <c r="G26" s="43" t="s">
        <v>234</v>
      </c>
      <c r="H26" s="85" t="s">
        <v>234</v>
      </c>
      <c r="I26" s="43" t="s">
        <v>234</v>
      </c>
      <c r="J26" s="85" t="s">
        <v>234</v>
      </c>
      <c r="K26" s="43" t="s">
        <v>234</v>
      </c>
      <c r="L26" s="85" t="s">
        <v>234</v>
      </c>
      <c r="M26" s="43" t="s">
        <v>234</v>
      </c>
      <c r="N26" s="85" t="s">
        <v>234</v>
      </c>
      <c r="O26" s="43" t="s">
        <v>234</v>
      </c>
      <c r="P26" s="84" t="s">
        <v>234</v>
      </c>
    </row>
    <row r="27" spans="1:16" x14ac:dyDescent="0.2">
      <c r="A27" s="34" t="str">
        <f>VLOOKUP("&lt;T2Zeilentitel_5&gt;",Uebersetzungen!$B$3:$E$105,Uebersetzungen!$B$2+1,FALSE)</f>
        <v>Migrationsstatus</v>
      </c>
      <c r="B27" s="74" t="str">
        <f>VLOOKUP("&lt;T2Zeilentitel_5.1&gt;",Uebersetzungen!$B$3:$E$105,Uebersetzungen!$B$2+1,FALSE)</f>
        <v>Schweizer/innen ohne Migrationshintergrund</v>
      </c>
      <c r="C27" s="66">
        <v>122616.61450815987</v>
      </c>
      <c r="D27" s="41">
        <v>1.7145052831186325</v>
      </c>
      <c r="E27" s="11">
        <v>99626.607233036499</v>
      </c>
      <c r="F27" s="41">
        <v>2.3190671202104038</v>
      </c>
      <c r="G27" s="12">
        <v>1078.7824748945454</v>
      </c>
      <c r="H27" s="63">
        <v>34.136300689597327</v>
      </c>
      <c r="I27" s="11">
        <v>12148.023462913361</v>
      </c>
      <c r="J27" s="41">
        <v>9.9687615546762665</v>
      </c>
      <c r="K27" s="11">
        <v>23283.053172430838</v>
      </c>
      <c r="L27" s="41">
        <v>6.9000669487473454</v>
      </c>
      <c r="M27" s="11">
        <v>2174.7745554751127</v>
      </c>
      <c r="N27" s="41">
        <v>24.317472265017667</v>
      </c>
      <c r="O27" s="12">
        <v>570.1579433986999</v>
      </c>
      <c r="P27" s="59">
        <v>48.452523587994058</v>
      </c>
    </row>
    <row r="28" spans="1:16" x14ac:dyDescent="0.2">
      <c r="A28" s="36"/>
      <c r="B28" s="76" t="str">
        <f>VLOOKUP("&lt;T2Zeilentitel_5.2&gt;",Uebersetzungen!$B$3:$E$105,Uebersetzungen!$B$2+1,FALSE)</f>
        <v>Schweizer/innen mit Migrationshintergrund</v>
      </c>
      <c r="C28" s="66">
        <v>15629.546250560858</v>
      </c>
      <c r="D28" s="41">
        <v>8.6791579709556306</v>
      </c>
      <c r="E28" s="11">
        <v>11024.371755137194</v>
      </c>
      <c r="F28" s="41">
        <v>10.460504203865742</v>
      </c>
      <c r="G28" s="12">
        <v>436.6585010730476</v>
      </c>
      <c r="H28" s="63">
        <v>54.105402206259107</v>
      </c>
      <c r="I28" s="11">
        <v>3111.0716119136064</v>
      </c>
      <c r="J28" s="41">
        <v>20.107844897315058</v>
      </c>
      <c r="K28" s="12">
        <v>594.62001932685359</v>
      </c>
      <c r="L28" s="63">
        <v>46.931267022206889</v>
      </c>
      <c r="M28" s="12">
        <v>1230.0972780581435</v>
      </c>
      <c r="N28" s="63">
        <v>32.159349502808304</v>
      </c>
      <c r="O28" s="11">
        <v>4284.5409971922454</v>
      </c>
      <c r="P28" s="58">
        <v>17.348410035711535</v>
      </c>
    </row>
    <row r="29" spans="1:16" x14ac:dyDescent="0.2">
      <c r="A29" s="36"/>
      <c r="B29" s="76" t="str">
        <f>VLOOKUP("&lt;T2Zeilentitel_5.3&gt;",Uebersetzungen!$B$3:$E$105,Uebersetzungen!$B$2+1,FALSE)</f>
        <v>Ausländer/innen der ersten Generation</v>
      </c>
      <c r="C29" s="66">
        <v>31359.402603251627</v>
      </c>
      <c r="D29" s="41">
        <v>6.3087876246097645</v>
      </c>
      <c r="E29" s="11">
        <v>13129.609892776976</v>
      </c>
      <c r="F29" s="41">
        <v>10.089898942710121</v>
      </c>
      <c r="G29" s="12">
        <v>478.6966208746598</v>
      </c>
      <c r="H29" s="63">
        <v>54.821906211279504</v>
      </c>
      <c r="I29" s="11">
        <v>6915.0014994416224</v>
      </c>
      <c r="J29" s="41">
        <v>14.276322302152588</v>
      </c>
      <c r="K29" s="12">
        <v>269.72589224735879</v>
      </c>
      <c r="L29" s="63">
        <v>73.542624398479049</v>
      </c>
      <c r="M29" s="11">
        <v>3113.7545011346779</v>
      </c>
      <c r="N29" s="41">
        <v>22.213210334492484</v>
      </c>
      <c r="O29" s="11">
        <v>15335.605421104001</v>
      </c>
      <c r="P29" s="58">
        <v>9.6260379632138573</v>
      </c>
    </row>
    <row r="30" spans="1:16" ht="25.5" x14ac:dyDescent="0.2">
      <c r="A30" s="36"/>
      <c r="B30" s="76" t="str">
        <f>VLOOKUP("&lt;T2Zeilentitel_5.4&gt;",Uebersetzungen!$B$3:$E$105,Uebersetzungen!$B$2+1,FALSE)</f>
        <v>Ausländer/innen der zweiten und höheren Generation</v>
      </c>
      <c r="C30" s="66">
        <v>2340.0852101068194</v>
      </c>
      <c r="D30" s="41">
        <v>25.364680650187399</v>
      </c>
      <c r="E30" s="11">
        <v>1990.3958101735393</v>
      </c>
      <c r="F30" s="41">
        <v>27.300972867869397</v>
      </c>
      <c r="G30" s="11" t="s">
        <v>234</v>
      </c>
      <c r="H30" s="41" t="s">
        <v>234</v>
      </c>
      <c r="I30" s="12">
        <v>569.07457663809271</v>
      </c>
      <c r="J30" s="63">
        <v>50.295058382719716</v>
      </c>
      <c r="K30" s="11" t="s">
        <v>234</v>
      </c>
      <c r="L30" s="41" t="s">
        <v>234</v>
      </c>
      <c r="M30" s="11" t="s">
        <v>234</v>
      </c>
      <c r="N30" s="41" t="s">
        <v>234</v>
      </c>
      <c r="O30" s="12">
        <v>504.71518836347417</v>
      </c>
      <c r="P30" s="59">
        <v>56.326508886569123</v>
      </c>
    </row>
    <row r="31" spans="1:16" x14ac:dyDescent="0.2">
      <c r="A31" s="35"/>
      <c r="B31" s="76" t="str">
        <f>VLOOKUP("&lt;T2Zeilentitel_5.5&gt;",Uebersetzungen!$B$3:$E$105,Uebersetzungen!$B$2+1,FALSE)</f>
        <v>Migrationshintergrund unbekannt</v>
      </c>
      <c r="C31" s="91">
        <v>1041.3514279221372</v>
      </c>
      <c r="D31" s="86">
        <v>35.886950195120697</v>
      </c>
      <c r="E31" s="44">
        <v>900.7631807913541</v>
      </c>
      <c r="F31" s="86">
        <v>38.667694858923177</v>
      </c>
      <c r="G31" s="43" t="s">
        <v>234</v>
      </c>
      <c r="H31" s="85" t="s">
        <v>234</v>
      </c>
      <c r="I31" s="43" t="s">
        <v>234</v>
      </c>
      <c r="J31" s="85" t="s">
        <v>234</v>
      </c>
      <c r="K31" s="43" t="s">
        <v>234</v>
      </c>
      <c r="L31" s="85" t="s">
        <v>234</v>
      </c>
      <c r="M31" s="43" t="s">
        <v>234</v>
      </c>
      <c r="N31" s="85" t="s">
        <v>234</v>
      </c>
      <c r="O31" s="43" t="s">
        <v>234</v>
      </c>
      <c r="P31" s="84" t="s">
        <v>234</v>
      </c>
    </row>
    <row r="32" spans="1:16" x14ac:dyDescent="0.2">
      <c r="A32" s="34" t="str">
        <f>VLOOKUP("&lt;T2Zeilentitel_6&gt;",Uebersetzungen!$B$3:$E$105,Uebersetzungen!$B$2+1,FALSE)</f>
        <v>Arbeitsmarktstatus</v>
      </c>
      <c r="B32" s="74" t="str">
        <f>VLOOKUP("&lt;T2Zeilentitel_6.1&gt;",Uebersetzungen!$B$3:$E$105,Uebersetzungen!$B$2+1,FALSE)</f>
        <v>Erwerbstätige</v>
      </c>
      <c r="C32" s="66">
        <v>107516.60503392141</v>
      </c>
      <c r="D32" s="41">
        <v>2.2329611220093946</v>
      </c>
      <c r="E32" s="11">
        <v>77642.239896119689</v>
      </c>
      <c r="F32" s="41">
        <v>3.0881386840939298</v>
      </c>
      <c r="G32" s="12">
        <v>1113.5472890133326</v>
      </c>
      <c r="H32" s="63">
        <v>34.503989501276145</v>
      </c>
      <c r="I32" s="11">
        <v>13785.208636671725</v>
      </c>
      <c r="J32" s="41">
        <v>9.5845519643178445</v>
      </c>
      <c r="K32" s="11">
        <v>14187.013388770392</v>
      </c>
      <c r="L32" s="41">
        <v>9.2245080298362438</v>
      </c>
      <c r="M32" s="11">
        <v>4248.8522301130279</v>
      </c>
      <c r="N32" s="41">
        <v>18.236779910215382</v>
      </c>
      <c r="O32" s="11">
        <v>15387.48703543899</v>
      </c>
      <c r="P32" s="58">
        <v>9.4612427074706886</v>
      </c>
    </row>
    <row r="33" spans="1:16" x14ac:dyDescent="0.2">
      <c r="A33" s="36"/>
      <c r="B33" s="76" t="str">
        <f>VLOOKUP("&lt;T2Zeilentitel_6.2&gt;",Uebersetzungen!$B$3:$E$105,Uebersetzungen!$B$2+1,FALSE)</f>
        <v>Erwerbslose</v>
      </c>
      <c r="C33" s="66">
        <v>2273.582534576155</v>
      </c>
      <c r="D33" s="41">
        <v>25.546793337573479</v>
      </c>
      <c r="E33" s="12">
        <v>1423.7342726973532</v>
      </c>
      <c r="F33" s="63">
        <v>32.3339570396979</v>
      </c>
      <c r="G33" s="11" t="s">
        <v>234</v>
      </c>
      <c r="H33" s="41" t="s">
        <v>234</v>
      </c>
      <c r="I33" s="12">
        <v>438.16604944949484</v>
      </c>
      <c r="J33" s="63">
        <v>57.364215700321445</v>
      </c>
      <c r="K33" s="11" t="s">
        <v>234</v>
      </c>
      <c r="L33" s="41" t="s">
        <v>234</v>
      </c>
      <c r="M33" s="11" t="s">
        <v>234</v>
      </c>
      <c r="N33" s="41" t="s">
        <v>234</v>
      </c>
      <c r="O33" s="12">
        <v>534.71977169161244</v>
      </c>
      <c r="P33" s="59">
        <v>54.652237009511872</v>
      </c>
    </row>
    <row r="34" spans="1:16" x14ac:dyDescent="0.2">
      <c r="A34" s="35"/>
      <c r="B34" s="76" t="str">
        <f>VLOOKUP("&lt;T2Zeilentitel_6.3&gt;",Uebersetzungen!$B$3:$E$105,Uebersetzungen!$B$2+1,FALSE)</f>
        <v>Nichterwerbspersonen</v>
      </c>
      <c r="C34" s="90">
        <v>63196.812431503633</v>
      </c>
      <c r="D34" s="85">
        <v>3.5749644565401599</v>
      </c>
      <c r="E34" s="43">
        <v>47605.773703098472</v>
      </c>
      <c r="F34" s="85">
        <v>4.3778433987238934</v>
      </c>
      <c r="G34" s="44">
        <v>862.78225594943444</v>
      </c>
      <c r="H34" s="86">
        <v>38.647942973880895</v>
      </c>
      <c r="I34" s="43">
        <v>8587.4720982814106</v>
      </c>
      <c r="J34" s="85">
        <v>12.04300498558556</v>
      </c>
      <c r="K34" s="43">
        <v>10032.392696402805</v>
      </c>
      <c r="L34" s="85">
        <v>10.819038228015453</v>
      </c>
      <c r="M34" s="43">
        <v>2265.6219199703814</v>
      </c>
      <c r="N34" s="85">
        <v>24.467216947748419</v>
      </c>
      <c r="O34" s="43">
        <v>4891.2242931459368</v>
      </c>
      <c r="P34" s="84">
        <v>17.0590247542778</v>
      </c>
    </row>
    <row r="35" spans="1:16" x14ac:dyDescent="0.2">
      <c r="A35" s="36" t="str">
        <f>VLOOKUP("&lt;T2Zeilentitel_7&gt;",Uebersetzungen!$B$3:$E$105,Uebersetzungen!$B$2+1,FALSE)</f>
        <v>Sozioprofessionelle Kategorien</v>
      </c>
      <c r="B35" s="74" t="str">
        <f>VLOOKUP("&lt;T2Zeilentitel_7.1&gt;",Uebersetzungen!$B$3:$E$105,Uebersetzungen!$B$2+1,FALSE)</f>
        <v>Oberstes Management</v>
      </c>
      <c r="C35" s="66">
        <v>2953.3948145954159</v>
      </c>
      <c r="D35" s="41">
        <v>20.757746539864385</v>
      </c>
      <c r="E35" s="11">
        <v>2169.3977440312528</v>
      </c>
      <c r="F35" s="41">
        <v>24.085881454226637</v>
      </c>
      <c r="G35" s="11" t="s">
        <v>234</v>
      </c>
      <c r="H35" s="41" t="s">
        <v>234</v>
      </c>
      <c r="I35" s="12">
        <v>446.81234276027527</v>
      </c>
      <c r="J35" s="63">
        <v>53.650930605057056</v>
      </c>
      <c r="K35" s="12">
        <v>371.79519179728925</v>
      </c>
      <c r="L35" s="63">
        <v>58.233296884504675</v>
      </c>
      <c r="M35" s="12">
        <v>165.79965965619766</v>
      </c>
      <c r="N35" s="63">
        <v>86.468424711143385</v>
      </c>
      <c r="O35" s="12">
        <v>305.75433158269044</v>
      </c>
      <c r="P35" s="59">
        <v>69.059186784706597</v>
      </c>
    </row>
    <row r="36" spans="1:16" x14ac:dyDescent="0.2">
      <c r="A36" s="37"/>
      <c r="B36" s="76" t="str">
        <f>VLOOKUP("&lt;T2Zeilentitel_7.2&gt;",Uebersetzungen!$B$3:$E$105,Uebersetzungen!$B$2+1,FALSE)</f>
        <v>Freie und gleichgestellte Berufe</v>
      </c>
      <c r="C36" s="66">
        <v>2954.6168063002165</v>
      </c>
      <c r="D36" s="41">
        <v>20.718263642941835</v>
      </c>
      <c r="E36" s="11">
        <v>2263.1701641854456</v>
      </c>
      <c r="F36" s="41">
        <v>23.505950719756406</v>
      </c>
      <c r="G36" s="11" t="s">
        <v>234</v>
      </c>
      <c r="H36" s="41" t="s">
        <v>234</v>
      </c>
      <c r="I36" s="12">
        <v>530.17949509833045</v>
      </c>
      <c r="J36" s="63">
        <v>49.953350075223092</v>
      </c>
      <c r="K36" s="12">
        <v>240.01718457127473</v>
      </c>
      <c r="L36" s="63">
        <v>73.06832603067491</v>
      </c>
      <c r="M36" s="12">
        <v>511.19378447095187</v>
      </c>
      <c r="N36" s="63">
        <v>51.731374391932327</v>
      </c>
      <c r="O36" s="11" t="s">
        <v>234</v>
      </c>
      <c r="P36" s="58" t="s">
        <v>234</v>
      </c>
    </row>
    <row r="37" spans="1:16" x14ac:dyDescent="0.2">
      <c r="A37" s="38"/>
      <c r="B37" s="76" t="str">
        <f>VLOOKUP("&lt;T2Zeilentitel_7.3&gt;",Uebersetzungen!$B$3:$E$105,Uebersetzungen!$B$2+1,FALSE)</f>
        <v>Andere Selbstständige</v>
      </c>
      <c r="C37" s="66">
        <v>12636.193618091322</v>
      </c>
      <c r="D37" s="41">
        <v>9.9706743754828704</v>
      </c>
      <c r="E37" s="11">
        <v>8989.9624930479185</v>
      </c>
      <c r="F37" s="41">
        <v>11.9050889352977</v>
      </c>
      <c r="G37" s="11" t="s">
        <v>234</v>
      </c>
      <c r="H37" s="41" t="s">
        <v>234</v>
      </c>
      <c r="I37" s="12">
        <v>1658.552536610953</v>
      </c>
      <c r="J37" s="63">
        <v>28.437516463276832</v>
      </c>
      <c r="K37" s="11">
        <v>2169.4983260560352</v>
      </c>
      <c r="L37" s="41">
        <v>24.655969600877256</v>
      </c>
      <c r="M37" s="12">
        <v>378.91387623299607</v>
      </c>
      <c r="N37" s="63">
        <v>58.31334457416073</v>
      </c>
      <c r="O37" s="12">
        <v>739.71260605630766</v>
      </c>
      <c r="P37" s="59">
        <v>44.751901517592167</v>
      </c>
    </row>
    <row r="38" spans="1:16" x14ac:dyDescent="0.2">
      <c r="A38" s="38"/>
      <c r="B38" s="76" t="str">
        <f>VLOOKUP("&lt;T2Zeilentitel_7.4&gt;",Uebersetzungen!$B$3:$E$105,Uebersetzungen!$B$2+1,FALSE)</f>
        <v>Akademische Berufe und oberes Kader</v>
      </c>
      <c r="C38" s="66">
        <v>14768.995519368731</v>
      </c>
      <c r="D38" s="41">
        <v>8.9235268938046044</v>
      </c>
      <c r="E38" s="11">
        <v>11868.795092280978</v>
      </c>
      <c r="F38" s="41">
        <v>10.040545456169355</v>
      </c>
      <c r="G38" s="12">
        <v>497.00040898225711</v>
      </c>
      <c r="H38" s="63">
        <v>49.989560588885873</v>
      </c>
      <c r="I38" s="11">
        <v>1826.574028458105</v>
      </c>
      <c r="J38" s="41">
        <v>26.362963733371345</v>
      </c>
      <c r="K38" s="12">
        <v>1654.9925743101066</v>
      </c>
      <c r="L38" s="63">
        <v>27.826094699451563</v>
      </c>
      <c r="M38" s="12">
        <v>648.12494190815198</v>
      </c>
      <c r="N38" s="63">
        <v>46.439978074404536</v>
      </c>
      <c r="O38" s="12">
        <v>723.38731915931044</v>
      </c>
      <c r="P38" s="59">
        <v>42.502399797903898</v>
      </c>
    </row>
    <row r="39" spans="1:16" x14ac:dyDescent="0.2">
      <c r="A39" s="38"/>
      <c r="B39" s="76" t="str">
        <f>VLOOKUP("&lt;T2Zeilentitel_7.5&gt;",Uebersetzungen!$B$3:$E$105,Uebersetzungen!$B$2+1,FALSE)</f>
        <v>Intermediäre Berufe</v>
      </c>
      <c r="C39" s="66">
        <v>31790.919442611848</v>
      </c>
      <c r="D39" s="41">
        <v>5.8999378246301468</v>
      </c>
      <c r="E39" s="11">
        <v>24051.81054780665</v>
      </c>
      <c r="F39" s="41">
        <v>6.9008074095247318</v>
      </c>
      <c r="G39" s="12">
        <v>276.26416490910685</v>
      </c>
      <c r="H39" s="63">
        <v>75.122314130661223</v>
      </c>
      <c r="I39" s="11">
        <v>3665.2026291655975</v>
      </c>
      <c r="J39" s="41">
        <v>19.096698563904752</v>
      </c>
      <c r="K39" s="11">
        <v>4057.1725731979291</v>
      </c>
      <c r="L39" s="41">
        <v>17.777300531327366</v>
      </c>
      <c r="M39" s="12">
        <v>1108.5724186527927</v>
      </c>
      <c r="N39" s="63">
        <v>36.978229617702027</v>
      </c>
      <c r="O39" s="11">
        <v>4046.2456554245459</v>
      </c>
      <c r="P39" s="58">
        <v>19.120542426135088</v>
      </c>
    </row>
    <row r="40" spans="1:16" x14ac:dyDescent="0.2">
      <c r="A40" s="38"/>
      <c r="B40" s="76" t="str">
        <f>VLOOKUP("&lt;T2Zeilentitel_7.6&gt;",Uebersetzungen!$B$3:$E$105,Uebersetzungen!$B$2+1,FALSE)</f>
        <v>Qualifizierte nichtmanuelle Berufe</v>
      </c>
      <c r="C40" s="66">
        <v>19687.931100661244</v>
      </c>
      <c r="D40" s="41">
        <v>7.8145678044516167</v>
      </c>
      <c r="E40" s="11">
        <v>15489.845792554517</v>
      </c>
      <c r="F40" s="41">
        <v>8.8861797617698723</v>
      </c>
      <c r="G40" s="11" t="s">
        <v>234</v>
      </c>
      <c r="H40" s="41" t="s">
        <v>234</v>
      </c>
      <c r="I40" s="11">
        <v>2338.4519998022133</v>
      </c>
      <c r="J40" s="41">
        <v>24.111932432533475</v>
      </c>
      <c r="K40" s="11">
        <v>2377.0015442985014</v>
      </c>
      <c r="L40" s="41">
        <v>23.329654996910854</v>
      </c>
      <c r="M40" s="12">
        <v>548.34836382495666</v>
      </c>
      <c r="N40" s="63">
        <v>50.110547786832775</v>
      </c>
      <c r="O40" s="11">
        <v>2320.8689716035719</v>
      </c>
      <c r="P40" s="58">
        <v>24.970093261075839</v>
      </c>
    </row>
    <row r="41" spans="1:16" x14ac:dyDescent="0.2">
      <c r="A41" s="38"/>
      <c r="B41" s="76" t="str">
        <f>VLOOKUP("&lt;T2Zeilentitel_7.7&gt;",Uebersetzungen!$B$3:$E$105,Uebersetzungen!$B$2+1,FALSE)</f>
        <v>Qualifizierte manuelle Berufe</v>
      </c>
      <c r="C41" s="66">
        <v>9484.8792043123321</v>
      </c>
      <c r="D41" s="41">
        <v>11.864977699035611</v>
      </c>
      <c r="E41" s="11">
        <v>6552.3315115508531</v>
      </c>
      <c r="F41" s="41">
        <v>14.311280045974424</v>
      </c>
      <c r="G41" s="11" t="s">
        <v>234</v>
      </c>
      <c r="H41" s="41" t="s">
        <v>234</v>
      </c>
      <c r="I41" s="12">
        <v>1111.1947302984061</v>
      </c>
      <c r="J41" s="63">
        <v>36.01990013220955</v>
      </c>
      <c r="K41" s="12">
        <v>1496.8501500076661</v>
      </c>
      <c r="L41" s="63">
        <v>29.766567898737399</v>
      </c>
      <c r="M41" s="12">
        <v>204.96690140407884</v>
      </c>
      <c r="N41" s="63">
        <v>87.118517160826485</v>
      </c>
      <c r="O41" s="12">
        <v>1589.3116264381299</v>
      </c>
      <c r="P41" s="59">
        <v>30.987818982602828</v>
      </c>
    </row>
    <row r="42" spans="1:16" x14ac:dyDescent="0.2">
      <c r="A42" s="38"/>
      <c r="B42" s="76" t="str">
        <f>VLOOKUP("&lt;T2Zeilentitel_7.8&gt;",Uebersetzungen!$B$3:$E$105,Uebersetzungen!$B$2+1,FALSE)</f>
        <v>Ungelernte Angestellte und Arbeiter</v>
      </c>
      <c r="C42" s="66">
        <v>7868.3355356968314</v>
      </c>
      <c r="D42" s="41">
        <v>13.346655540716672</v>
      </c>
      <c r="E42" s="11">
        <v>2512.2431213078235</v>
      </c>
      <c r="F42" s="41">
        <v>23.221489082831031</v>
      </c>
      <c r="G42" s="11" t="s">
        <v>234</v>
      </c>
      <c r="H42" s="41" t="s">
        <v>234</v>
      </c>
      <c r="I42" s="12">
        <v>1492.6482204400543</v>
      </c>
      <c r="J42" s="63">
        <v>31.530416824651446</v>
      </c>
      <c r="K42" s="12">
        <v>743.27473071931661</v>
      </c>
      <c r="L42" s="63">
        <v>42.14806584960013</v>
      </c>
      <c r="M42" s="12">
        <v>276.98557060770804</v>
      </c>
      <c r="N42" s="63">
        <v>73.544263895640739</v>
      </c>
      <c r="O42" s="11">
        <v>4637.8334501278341</v>
      </c>
      <c r="P42" s="58">
        <v>17.840064574910578</v>
      </c>
    </row>
    <row r="43" spans="1:16" ht="25.5" customHeight="1" x14ac:dyDescent="0.2">
      <c r="A43" s="38"/>
      <c r="B43" s="76" t="str">
        <f>VLOOKUP("&lt;T2Zeilentitel_7.9&gt;",Uebersetzungen!$B$3:$E$105,Uebersetzungen!$B$2+1,FALSE)</f>
        <v>Lernende in dualer beruflicher Grundbildung (Lehrlinge)</v>
      </c>
      <c r="C43" s="66">
        <v>3201.5321721395994</v>
      </c>
      <c r="D43" s="41">
        <v>20.317967540486357</v>
      </c>
      <c r="E43" s="11">
        <v>2362.3737171500416</v>
      </c>
      <c r="F43" s="41">
        <v>23.585545932010056</v>
      </c>
      <c r="G43" s="11" t="s">
        <v>234</v>
      </c>
      <c r="H43" s="41" t="s">
        <v>234</v>
      </c>
      <c r="I43" s="12">
        <v>466.64510462306629</v>
      </c>
      <c r="J43" s="63">
        <v>53.922208044073606</v>
      </c>
      <c r="K43" s="12">
        <v>871.85059282134705</v>
      </c>
      <c r="L43" s="63">
        <v>38.719767220105446</v>
      </c>
      <c r="M43" s="12">
        <v>218.12529669445806</v>
      </c>
      <c r="N43" s="63">
        <v>79.263680787323551</v>
      </c>
      <c r="O43" s="12">
        <v>440.34012516110141</v>
      </c>
      <c r="P43" s="59">
        <v>58.678631070984594</v>
      </c>
    </row>
    <row r="44" spans="1:16" ht="38.25" x14ac:dyDescent="0.2">
      <c r="A44" s="38"/>
      <c r="B44" s="76" t="str">
        <f>VLOOKUP("&lt;T2Zeilentitel_7.10&gt;",Uebersetzungen!$B$3:$E$105,Uebersetzungen!$B$2+1,FALSE)</f>
        <v>Nicht zuteilbare Erwerbstätige (fehlende oder unklare Basisdaten oder unplausible Kombination)</v>
      </c>
      <c r="C44" s="66">
        <v>2169.8068201438932</v>
      </c>
      <c r="D44" s="41">
        <v>25.542148859673862</v>
      </c>
      <c r="E44" s="12">
        <v>1382.3097122043209</v>
      </c>
      <c r="F44" s="63">
        <v>31.39005736630503</v>
      </c>
      <c r="G44" s="11" t="s">
        <v>234</v>
      </c>
      <c r="H44" s="41" t="s">
        <v>234</v>
      </c>
      <c r="I44" s="12">
        <v>248.94754941473369</v>
      </c>
      <c r="J44" s="63">
        <v>73.126821534349816</v>
      </c>
      <c r="K44" s="12">
        <v>204.56052099092977</v>
      </c>
      <c r="L44" s="63">
        <v>78.938851092944589</v>
      </c>
      <c r="M44" s="11" t="s">
        <v>234</v>
      </c>
      <c r="N44" s="41" t="s">
        <v>234</v>
      </c>
      <c r="O44" s="12">
        <v>468.14928468261223</v>
      </c>
      <c r="P44" s="59">
        <v>56.406303087648382</v>
      </c>
    </row>
    <row r="45" spans="1:16" x14ac:dyDescent="0.2">
      <c r="A45" s="38"/>
      <c r="B45" s="76" t="str">
        <f>VLOOKUP("&lt;T2Zeilentitel_7.11&gt;",Uebersetzungen!$B$3:$E$105,Uebersetzungen!$B$2+1,FALSE)</f>
        <v>Erwerbslose und Nichterwerbspersonen</v>
      </c>
      <c r="C45" s="90">
        <v>65470.394966079766</v>
      </c>
      <c r="D45" s="85">
        <v>3.4907975001965958</v>
      </c>
      <c r="E45" s="43">
        <v>49029.507975795823</v>
      </c>
      <c r="F45" s="85">
        <v>4.303674189947289</v>
      </c>
      <c r="G45" s="44">
        <v>880.59030782892012</v>
      </c>
      <c r="H45" s="86">
        <v>38.063435283061708</v>
      </c>
      <c r="I45" s="43">
        <v>9025.638147730906</v>
      </c>
      <c r="J45" s="85">
        <v>11.762108704901197</v>
      </c>
      <c r="K45" s="43">
        <v>10187.755420313548</v>
      </c>
      <c r="L45" s="85">
        <v>10.745433910474736</v>
      </c>
      <c r="M45" s="43">
        <v>2383.7201564434281</v>
      </c>
      <c r="N45" s="85">
        <v>23.898344820463581</v>
      </c>
      <c r="O45" s="43">
        <v>5425.9440648375466</v>
      </c>
      <c r="P45" s="84">
        <v>16.252287512927399</v>
      </c>
    </row>
    <row r="46" spans="1:16" ht="12.75" customHeight="1" x14ac:dyDescent="0.2">
      <c r="A46" s="34" t="str">
        <f>VLOOKUP("&lt;T2Zeilentitel_8&gt;",Uebersetzungen!$B$3:$E$105,Uebersetzungen!$B$2+1,FALSE)</f>
        <v>Höchste abgeschlossene Ausbildung</v>
      </c>
      <c r="B46" s="74" t="str">
        <f>VLOOKUP("&lt;T2Zeilentitel_8.1&gt;",Uebersetzungen!$B$3:$E$105,Uebersetzungen!$B$2+1,FALSE)</f>
        <v>Ohne nachobligatorische Aubildung</v>
      </c>
      <c r="C46" s="66">
        <v>35257.105825795763</v>
      </c>
      <c r="D46" s="41">
        <v>5.5602700259148854</v>
      </c>
      <c r="E46" s="11">
        <v>19410.698418741351</v>
      </c>
      <c r="F46" s="41">
        <v>7.723791042010574</v>
      </c>
      <c r="G46" s="12">
        <v>200.21584405583826</v>
      </c>
      <c r="H46" s="63">
        <v>79.008414516533762</v>
      </c>
      <c r="I46" s="11">
        <v>6380.9975302660523</v>
      </c>
      <c r="J46" s="41">
        <v>14.479120983068686</v>
      </c>
      <c r="K46" s="11">
        <v>5696.6682669265138</v>
      </c>
      <c r="L46" s="41">
        <v>14.680815721877657</v>
      </c>
      <c r="M46" s="12">
        <v>959.26654410064714</v>
      </c>
      <c r="N46" s="63">
        <v>38.245655287580853</v>
      </c>
      <c r="O46" s="11">
        <v>9364.8150219679774</v>
      </c>
      <c r="P46" s="58">
        <v>12.379584435956298</v>
      </c>
    </row>
    <row r="47" spans="1:16" x14ac:dyDescent="0.2">
      <c r="A47" s="38"/>
      <c r="B47" s="76" t="str">
        <f>VLOOKUP("&lt;T2Zeilentitel_8.2&gt;",Uebersetzungen!$B$3:$E$105,Uebersetzungen!$B$2+1,FALSE)</f>
        <v>Sekundarstufe II</v>
      </c>
      <c r="C47" s="66">
        <v>79770.079363931363</v>
      </c>
      <c r="D47" s="41">
        <v>3.0314707120835456</v>
      </c>
      <c r="E47" s="11">
        <v>61670.408970106255</v>
      </c>
      <c r="F47" s="41">
        <v>3.7326612492476952</v>
      </c>
      <c r="G47" s="12">
        <v>687.1991458752691</v>
      </c>
      <c r="H47" s="63">
        <v>44.98633357860318</v>
      </c>
      <c r="I47" s="11">
        <v>9930.4044056135099</v>
      </c>
      <c r="J47" s="41">
        <v>11.358657667454336</v>
      </c>
      <c r="K47" s="11">
        <v>11958.90774453855</v>
      </c>
      <c r="L47" s="41">
        <v>10.033104149578394</v>
      </c>
      <c r="M47" s="11">
        <v>2510.4239814495259</v>
      </c>
      <c r="N47" s="41">
        <v>23.974705295745395</v>
      </c>
      <c r="O47" s="11">
        <v>7081.6492129040244</v>
      </c>
      <c r="P47" s="58">
        <v>14.314615358072931</v>
      </c>
    </row>
    <row r="48" spans="1:16" ht="13.5" thickBot="1" x14ac:dyDescent="0.25">
      <c r="A48" s="39"/>
      <c r="B48" s="77" t="str">
        <f>VLOOKUP("&lt;T2Zeilentitel_8.3&gt;",Uebersetzungen!$B$3:$E$105,Uebersetzungen!$B$2+1,FALSE)</f>
        <v>Tertiärstufe</v>
      </c>
      <c r="C48" s="67">
        <v>57959.814810274111</v>
      </c>
      <c r="D48" s="62">
        <v>3.8600787798579197</v>
      </c>
      <c r="E48" s="17">
        <v>45590.640483068033</v>
      </c>
      <c r="F48" s="62">
        <v>4.5519411612402925</v>
      </c>
      <c r="G48" s="69">
        <v>1106.7226069111455</v>
      </c>
      <c r="H48" s="64">
        <v>33.758715991055787</v>
      </c>
      <c r="I48" s="17">
        <v>6499.4448485230714</v>
      </c>
      <c r="J48" s="62">
        <v>13.891208160739311</v>
      </c>
      <c r="K48" s="17">
        <v>6719.1927976188863</v>
      </c>
      <c r="L48" s="62">
        <v>13.609141544902457</v>
      </c>
      <c r="M48" s="17">
        <v>3162.8818610062822</v>
      </c>
      <c r="N48" s="62">
        <v>20.805294795866683</v>
      </c>
      <c r="O48" s="17">
        <v>4366.9668654045427</v>
      </c>
      <c r="P48" s="60">
        <v>17.863643929272097</v>
      </c>
    </row>
    <row r="49" spans="1:16" x14ac:dyDescent="0.2">
      <c r="A49" s="29"/>
      <c r="B49" s="22"/>
      <c r="C49" s="30"/>
      <c r="D49" s="31"/>
      <c r="E49" s="31"/>
      <c r="F49" s="31"/>
      <c r="G49" s="31"/>
      <c r="H49" s="31"/>
      <c r="I49" s="31"/>
      <c r="J49" s="31"/>
      <c r="K49" s="31"/>
      <c r="L49" s="31"/>
      <c r="M49" s="30"/>
      <c r="N49" s="31"/>
      <c r="O49" s="32"/>
      <c r="P49" s="31"/>
    </row>
    <row r="50" spans="1:16" x14ac:dyDescent="0.2">
      <c r="A50" s="16" t="str">
        <f>VLOOKUP("&lt;Legende_1&gt;",Uebersetzungen!$B$3:$E$54,Uebersetzungen!$B$2+1,FALSE)</f>
        <v>Die Befragten konnten mehrere Hauptsprachen nennen.</v>
      </c>
    </row>
    <row r="51" spans="1:16" x14ac:dyDescent="0.2">
      <c r="A51" s="16" t="str">
        <f>VLOOKUP("&lt;Legende_2&gt;",Uebersetzungen!$B$3:$E$54,Uebersetzungen!$B$2+1,FALSE)</f>
        <v>(): Extrapolation aufgrund von 49 oder weniger Beobachtungen. Die Resultate sind mit grosser Vorsicht zu interpretieren.</v>
      </c>
    </row>
    <row r="52" spans="1:16" x14ac:dyDescent="0.2">
      <c r="A52" s="16" t="str">
        <f>VLOOKUP("&lt;Legende_3&gt;",Uebersetzungen!$B$3:$E$54,Uebersetzungen!$B$2+1,FALSE)</f>
        <v>X: Extrapolation aufgrund von 4 oder weniger Beobachtungen. Die Resultate werden aus Gründen des Datenschutzes nicht publiziert.</v>
      </c>
    </row>
    <row r="53" spans="1:16" x14ac:dyDescent="0.2">
      <c r="A53" s="16" t="str">
        <f>VLOOKUP("&lt;Legende_4&gt;",Uebersetzungen!$B$3:$E$54,Uebersetzungen!$B$2+1,FALSE)</f>
        <v>Die Grundgesamtheit der Strukturerhebung enthält alle Personen der ständigen Wohnbevölkerung ab vollendetem 15. Altersjahr, die in Privathaushalten leben.</v>
      </c>
    </row>
    <row r="54" spans="1:16" x14ac:dyDescent="0.2">
      <c r="A54" s="7"/>
    </row>
    <row r="55" spans="1:16" x14ac:dyDescent="0.2">
      <c r="A55" s="7" t="str">
        <f>VLOOKUP("&lt;Quelle_1&gt;",Uebersetzungen!$B$3:$E$105,Uebersetzungen!$B$2+1,FALSE)</f>
        <v>Quelle: BFS (Strukturerhebung)</v>
      </c>
    </row>
    <row r="56" spans="1:16" x14ac:dyDescent="0.2">
      <c r="A56" s="6" t="str">
        <f>VLOOKUP("&lt;T2Aktualisierung&gt;",Uebersetzungen!$B$3:$E$105,Uebersetzungen!$B$2+1,FALSE)</f>
        <v>Letztmals aktualisiert am: 18.03.2024</v>
      </c>
    </row>
    <row r="57" spans="1:16" x14ac:dyDescent="0.2">
      <c r="B57" s="9"/>
      <c r="N57" s="9"/>
    </row>
    <row r="59" spans="1:16" x14ac:dyDescent="0.2">
      <c r="B59" s="10"/>
      <c r="N59" s="10"/>
    </row>
    <row r="60" spans="1:16" x14ac:dyDescent="0.2">
      <c r="N60" s="9"/>
      <c r="O60" s="9"/>
      <c r="P60" s="9"/>
    </row>
  </sheetData>
  <sheetProtection sheet="1" objects="1" scenarios="1"/>
  <mergeCells count="10">
    <mergeCell ref="A7:D7"/>
    <mergeCell ref="B13:B14"/>
    <mergeCell ref="C13:D13"/>
    <mergeCell ref="M13:N13"/>
    <mergeCell ref="O13:P13"/>
    <mergeCell ref="C12:P12"/>
    <mergeCell ref="E13:F13"/>
    <mergeCell ref="G13:H13"/>
    <mergeCell ref="I13:J13"/>
    <mergeCell ref="K13:L13"/>
  </mergeCells>
  <pageMargins left="0.7" right="0.7" top="0.78740157499999996" bottom="0.78740157499999996" header="0.3" footer="0.3"/>
  <pageSetup paperSize="9" scale="38" orientation="portrait" horizontalDpi="90" verticalDpi="9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3</xdr:col>
                    <xdr:colOff>190500</xdr:colOff>
                    <xdr:row>1</xdr:row>
                    <xdr:rowOff>123825</xdr:rowOff>
                  </from>
                  <to>
                    <xdr:col>4</xdr:col>
                    <xdr:colOff>609600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3</xdr:col>
                    <xdr:colOff>190500</xdr:colOff>
                    <xdr:row>2</xdr:row>
                    <xdr:rowOff>114300</xdr:rowOff>
                  </from>
                  <to>
                    <xdr:col>5</xdr:col>
                    <xdr:colOff>276225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3</xdr:col>
                    <xdr:colOff>190500</xdr:colOff>
                    <xdr:row>3</xdr:row>
                    <xdr:rowOff>76200</xdr:rowOff>
                  </from>
                  <to>
                    <xdr:col>4</xdr:col>
                    <xdr:colOff>609600</xdr:colOff>
                    <xdr:row>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opLeftCell="A10" workbookViewId="0">
      <selection activeCell="C47" sqref="C47"/>
    </sheetView>
  </sheetViews>
  <sheetFormatPr baseColWidth="10" defaultColWidth="11" defaultRowHeight="12.75" x14ac:dyDescent="0.2"/>
  <cols>
    <col min="1" max="1" width="7.5" style="24" bestFit="1" customWidth="1"/>
    <col min="2" max="2" width="15.5" style="24" bestFit="1" customWidth="1"/>
    <col min="3" max="3" width="40.875" style="24" bestFit="1" customWidth="1"/>
    <col min="4" max="4" width="41.625" style="24" bestFit="1" customWidth="1"/>
    <col min="5" max="5" width="41.125" style="24" bestFit="1" customWidth="1"/>
    <col min="6" max="16384" width="11" style="24"/>
  </cols>
  <sheetData>
    <row r="1" spans="1:6" x14ac:dyDescent="0.2">
      <c r="A1" s="18" t="s">
        <v>56</v>
      </c>
      <c r="B1" s="18" t="s">
        <v>57</v>
      </c>
      <c r="C1" s="18" t="s">
        <v>58</v>
      </c>
      <c r="D1" s="18" t="s">
        <v>59</v>
      </c>
      <c r="E1" s="18" t="s">
        <v>60</v>
      </c>
      <c r="F1" s="19"/>
    </row>
    <row r="2" spans="1:6" x14ac:dyDescent="0.2">
      <c r="A2" s="25" t="s">
        <v>61</v>
      </c>
      <c r="B2" s="26">
        <v>1</v>
      </c>
      <c r="C2" s="19"/>
      <c r="D2" s="19"/>
      <c r="E2" s="19"/>
      <c r="F2" s="19"/>
    </row>
    <row r="3" spans="1:6" x14ac:dyDescent="0.2">
      <c r="A3" s="25"/>
      <c r="B3" s="24" t="s">
        <v>63</v>
      </c>
      <c r="C3" s="20" t="s">
        <v>64</v>
      </c>
      <c r="D3" s="20" t="s">
        <v>65</v>
      </c>
      <c r="E3" s="20" t="s">
        <v>66</v>
      </c>
      <c r="F3" s="19"/>
    </row>
    <row r="4" spans="1:6" ht="25.5" x14ac:dyDescent="0.2">
      <c r="A4" s="25" t="s">
        <v>62</v>
      </c>
      <c r="B4" s="21" t="s">
        <v>67</v>
      </c>
      <c r="C4" s="21" t="s">
        <v>256</v>
      </c>
      <c r="D4" s="21" t="s">
        <v>278</v>
      </c>
      <c r="E4" s="21" t="s">
        <v>279</v>
      </c>
      <c r="F4" s="19"/>
    </row>
    <row r="5" spans="1:6" x14ac:dyDescent="0.2">
      <c r="A5" s="25"/>
      <c r="B5" s="24" t="s">
        <v>84</v>
      </c>
      <c r="C5" s="46" t="s">
        <v>257</v>
      </c>
      <c r="D5" s="46" t="s">
        <v>258</v>
      </c>
      <c r="E5" s="46" t="s">
        <v>259</v>
      </c>
      <c r="F5" s="19"/>
    </row>
    <row r="6" spans="1:6" x14ac:dyDescent="0.2">
      <c r="A6" s="25"/>
      <c r="B6" s="25"/>
      <c r="C6" s="25"/>
      <c r="D6" s="25"/>
      <c r="E6" s="25"/>
      <c r="F6" s="19"/>
    </row>
    <row r="7" spans="1:6" ht="14.25" customHeight="1" x14ac:dyDescent="0.2">
      <c r="A7" s="25" t="s">
        <v>105</v>
      </c>
      <c r="B7" s="24" t="s">
        <v>68</v>
      </c>
      <c r="C7" s="20" t="s">
        <v>0</v>
      </c>
      <c r="D7" s="20" t="s">
        <v>0</v>
      </c>
      <c r="E7" s="20" t="s">
        <v>144</v>
      </c>
      <c r="F7" s="19"/>
    </row>
    <row r="8" spans="1:6" x14ac:dyDescent="0.2">
      <c r="A8" s="25"/>
      <c r="B8" s="24" t="s">
        <v>69</v>
      </c>
      <c r="C8" s="20" t="s">
        <v>260</v>
      </c>
      <c r="D8" s="20" t="s">
        <v>272</v>
      </c>
      <c r="E8" s="20" t="s">
        <v>266</v>
      </c>
      <c r="F8" s="19"/>
    </row>
    <row r="9" spans="1:6" x14ac:dyDescent="0.2">
      <c r="A9" s="25"/>
      <c r="B9" s="24" t="s">
        <v>70</v>
      </c>
      <c r="C9" s="20" t="s">
        <v>261</v>
      </c>
      <c r="D9" s="20" t="s">
        <v>273</v>
      </c>
      <c r="E9" s="20" t="s">
        <v>270</v>
      </c>
      <c r="F9" s="19"/>
    </row>
    <row r="10" spans="1:6" ht="25.5" x14ac:dyDescent="0.2">
      <c r="A10" s="25"/>
      <c r="B10" s="24" t="s">
        <v>235</v>
      </c>
      <c r="C10" s="20" t="s">
        <v>262</v>
      </c>
      <c r="D10" s="20" t="s">
        <v>274</v>
      </c>
      <c r="E10" s="20" t="s">
        <v>271</v>
      </c>
      <c r="F10" s="19"/>
    </row>
    <row r="11" spans="1:6" x14ac:dyDescent="0.2">
      <c r="A11" s="25"/>
      <c r="B11" s="24" t="s">
        <v>252</v>
      </c>
      <c r="C11" s="20" t="s">
        <v>263</v>
      </c>
      <c r="D11" s="20" t="s">
        <v>277</v>
      </c>
      <c r="E11" s="20" t="s">
        <v>267</v>
      </c>
      <c r="F11" s="19"/>
    </row>
    <row r="12" spans="1:6" x14ac:dyDescent="0.2">
      <c r="A12" s="25"/>
      <c r="B12" s="24" t="s">
        <v>253</v>
      </c>
      <c r="C12" s="20" t="s">
        <v>264</v>
      </c>
      <c r="D12" s="20" t="s">
        <v>276</v>
      </c>
      <c r="E12" s="20" t="s">
        <v>268</v>
      </c>
      <c r="F12" s="19"/>
    </row>
    <row r="13" spans="1:6" x14ac:dyDescent="0.2">
      <c r="A13" s="25"/>
      <c r="B13" s="24" t="s">
        <v>254</v>
      </c>
      <c r="C13" s="20" t="s">
        <v>265</v>
      </c>
      <c r="D13" s="20" t="s">
        <v>275</v>
      </c>
      <c r="E13" s="20" t="s">
        <v>269</v>
      </c>
      <c r="F13" s="19"/>
    </row>
    <row r="14" spans="1:6" x14ac:dyDescent="0.2">
      <c r="A14" s="25"/>
      <c r="B14" s="24" t="s">
        <v>255</v>
      </c>
      <c r="C14" s="20"/>
      <c r="D14" s="20"/>
      <c r="E14" s="20"/>
      <c r="F14" s="19"/>
    </row>
    <row r="15" spans="1:6" x14ac:dyDescent="0.2">
      <c r="A15" s="25"/>
      <c r="B15" s="25"/>
      <c r="C15" s="25"/>
      <c r="D15" s="25"/>
      <c r="E15" s="25"/>
      <c r="F15" s="25"/>
    </row>
    <row r="16" spans="1:6" x14ac:dyDescent="0.2">
      <c r="A16" s="25"/>
      <c r="B16" s="24" t="s">
        <v>116</v>
      </c>
      <c r="C16" s="20" t="s">
        <v>1</v>
      </c>
      <c r="D16" s="20" t="s">
        <v>232</v>
      </c>
      <c r="E16" s="20" t="s">
        <v>145</v>
      </c>
      <c r="F16" s="19"/>
    </row>
    <row r="17" spans="1:6" ht="25.5" x14ac:dyDescent="0.2">
      <c r="A17" s="25"/>
      <c r="B17" s="24" t="s">
        <v>117</v>
      </c>
      <c r="C17" s="20" t="s">
        <v>280</v>
      </c>
      <c r="D17" s="20" t="s">
        <v>281</v>
      </c>
      <c r="E17" s="20" t="s">
        <v>282</v>
      </c>
      <c r="F17" s="19"/>
    </row>
    <row r="18" spans="1:6" x14ac:dyDescent="0.2">
      <c r="A18" s="25"/>
      <c r="B18" s="19"/>
      <c r="C18" s="19"/>
      <c r="D18" s="19"/>
      <c r="E18" s="19"/>
      <c r="F18" s="19"/>
    </row>
    <row r="19" spans="1:6" x14ac:dyDescent="0.2">
      <c r="A19" s="25" t="s">
        <v>62</v>
      </c>
      <c r="B19" s="24" t="s">
        <v>71</v>
      </c>
      <c r="C19" s="20" t="s">
        <v>0</v>
      </c>
      <c r="D19" s="20" t="s">
        <v>0</v>
      </c>
      <c r="E19" s="20" t="s">
        <v>144</v>
      </c>
      <c r="F19" s="19"/>
    </row>
    <row r="20" spans="1:6" x14ac:dyDescent="0.2">
      <c r="A20" s="19"/>
      <c r="B20" s="24" t="s">
        <v>72</v>
      </c>
      <c r="C20" s="20" t="s">
        <v>2</v>
      </c>
      <c r="D20" s="20" t="s">
        <v>200</v>
      </c>
      <c r="E20" s="20" t="s">
        <v>147</v>
      </c>
      <c r="F20" s="19"/>
    </row>
    <row r="21" spans="1:6" x14ac:dyDescent="0.2">
      <c r="A21" s="19"/>
      <c r="B21" s="24" t="s">
        <v>73</v>
      </c>
      <c r="C21" s="20" t="s">
        <v>48</v>
      </c>
      <c r="D21" s="20" t="s">
        <v>148</v>
      </c>
      <c r="E21" s="20" t="s">
        <v>148</v>
      </c>
      <c r="F21" s="19"/>
    </row>
    <row r="22" spans="1:6" x14ac:dyDescent="0.2">
      <c r="A22" s="19"/>
      <c r="B22" s="24" t="s">
        <v>74</v>
      </c>
      <c r="C22" s="20" t="s">
        <v>3</v>
      </c>
      <c r="D22" s="20" t="s">
        <v>149</v>
      </c>
      <c r="E22" s="20" t="s">
        <v>149</v>
      </c>
      <c r="F22" s="19"/>
    </row>
    <row r="23" spans="1:6" x14ac:dyDescent="0.2">
      <c r="A23" s="19"/>
      <c r="B23" s="24" t="s">
        <v>75</v>
      </c>
      <c r="C23" s="20" t="s">
        <v>4</v>
      </c>
      <c r="D23" s="20" t="s">
        <v>4</v>
      </c>
      <c r="E23" s="20" t="s">
        <v>4</v>
      </c>
      <c r="F23" s="19"/>
    </row>
    <row r="24" spans="1:6" x14ac:dyDescent="0.2">
      <c r="A24" s="19"/>
      <c r="B24" s="24" t="s">
        <v>76</v>
      </c>
      <c r="C24" s="20" t="s">
        <v>5</v>
      </c>
      <c r="D24" s="20" t="s">
        <v>193</v>
      </c>
      <c r="E24" s="20" t="s">
        <v>150</v>
      </c>
      <c r="F24" s="19"/>
    </row>
    <row r="25" spans="1:6" x14ac:dyDescent="0.2">
      <c r="A25" s="19"/>
      <c r="B25" s="24" t="s">
        <v>77</v>
      </c>
      <c r="C25" s="20" t="s">
        <v>6</v>
      </c>
      <c r="D25" s="20" t="s">
        <v>199</v>
      </c>
      <c r="E25" s="20" t="s">
        <v>151</v>
      </c>
      <c r="F25" s="19"/>
    </row>
    <row r="26" spans="1:6" x14ac:dyDescent="0.2">
      <c r="A26" s="19"/>
      <c r="B26" s="24" t="s">
        <v>78</v>
      </c>
      <c r="C26" s="20" t="s">
        <v>7</v>
      </c>
      <c r="D26" s="20" t="s">
        <v>198</v>
      </c>
      <c r="E26" s="20" t="s">
        <v>152</v>
      </c>
      <c r="F26" s="19"/>
    </row>
    <row r="27" spans="1:6" x14ac:dyDescent="0.2">
      <c r="A27" s="19"/>
      <c r="B27" s="24" t="s">
        <v>85</v>
      </c>
      <c r="C27" s="20" t="s">
        <v>8</v>
      </c>
      <c r="D27" s="20" t="s">
        <v>196</v>
      </c>
      <c r="E27" s="20" t="s">
        <v>153</v>
      </c>
      <c r="F27" s="19"/>
    </row>
    <row r="28" spans="1:6" x14ac:dyDescent="0.2">
      <c r="A28" s="19"/>
      <c r="B28" s="24" t="s">
        <v>86</v>
      </c>
      <c r="C28" s="20" t="s">
        <v>9</v>
      </c>
      <c r="D28" s="20" t="s">
        <v>9</v>
      </c>
      <c r="E28" s="20" t="s">
        <v>154</v>
      </c>
      <c r="F28" s="19"/>
    </row>
    <row r="29" spans="1:6" x14ac:dyDescent="0.2">
      <c r="A29" s="19"/>
      <c r="B29" s="24" t="s">
        <v>87</v>
      </c>
      <c r="C29" s="20" t="s">
        <v>49</v>
      </c>
      <c r="D29" s="20" t="s">
        <v>195</v>
      </c>
      <c r="E29" s="20" t="s">
        <v>155</v>
      </c>
      <c r="F29" s="19"/>
    </row>
    <row r="30" spans="1:6" x14ac:dyDescent="0.2">
      <c r="A30" s="19"/>
      <c r="B30" s="24" t="s">
        <v>88</v>
      </c>
      <c r="C30" s="20" t="s">
        <v>10</v>
      </c>
      <c r="D30" s="20" t="s">
        <v>194</v>
      </c>
      <c r="E30" s="20" t="s">
        <v>156</v>
      </c>
      <c r="F30" s="19"/>
    </row>
    <row r="31" spans="1:6" x14ac:dyDescent="0.2">
      <c r="A31" s="19"/>
      <c r="B31" s="24" t="s">
        <v>89</v>
      </c>
      <c r="C31" s="20" t="s">
        <v>11</v>
      </c>
      <c r="D31" s="20" t="s">
        <v>201</v>
      </c>
      <c r="E31" s="20" t="s">
        <v>157</v>
      </c>
      <c r="F31" s="19"/>
    </row>
    <row r="32" spans="1:6" x14ac:dyDescent="0.2">
      <c r="A32" s="19"/>
      <c r="B32" s="24" t="s">
        <v>90</v>
      </c>
      <c r="C32" s="20" t="s">
        <v>12</v>
      </c>
      <c r="D32" s="20" t="s">
        <v>202</v>
      </c>
      <c r="E32" s="20" t="s">
        <v>158</v>
      </c>
      <c r="F32" s="19"/>
    </row>
    <row r="33" spans="1:6" x14ac:dyDescent="0.2">
      <c r="A33" s="19"/>
      <c r="B33" s="24" t="s">
        <v>91</v>
      </c>
      <c r="C33" s="20" t="s">
        <v>13</v>
      </c>
      <c r="D33" s="20" t="s">
        <v>197</v>
      </c>
      <c r="E33" s="20" t="s">
        <v>159</v>
      </c>
      <c r="F33" s="19"/>
    </row>
    <row r="34" spans="1:6" x14ac:dyDescent="0.2">
      <c r="A34" s="19"/>
      <c r="B34" s="24" t="s">
        <v>92</v>
      </c>
      <c r="C34" s="20" t="s">
        <v>14</v>
      </c>
      <c r="D34" s="20" t="s">
        <v>203</v>
      </c>
      <c r="E34" s="20" t="s">
        <v>160</v>
      </c>
      <c r="F34" s="19"/>
    </row>
    <row r="35" spans="1:6" x14ac:dyDescent="0.2">
      <c r="A35" s="19"/>
      <c r="B35" s="24" t="s">
        <v>93</v>
      </c>
      <c r="C35" s="20" t="s">
        <v>15</v>
      </c>
      <c r="D35" s="20" t="s">
        <v>204</v>
      </c>
      <c r="E35" s="20" t="s">
        <v>161</v>
      </c>
      <c r="F35" s="19"/>
    </row>
    <row r="36" spans="1:6" x14ac:dyDescent="0.2">
      <c r="A36" s="19"/>
      <c r="B36" s="24" t="s">
        <v>94</v>
      </c>
      <c r="C36" s="20" t="s">
        <v>16</v>
      </c>
      <c r="D36" s="20" t="s">
        <v>205</v>
      </c>
      <c r="E36" s="20" t="s">
        <v>162</v>
      </c>
      <c r="F36" s="19"/>
    </row>
    <row r="37" spans="1:6" x14ac:dyDescent="0.2">
      <c r="A37" s="19"/>
      <c r="B37" s="24" t="s">
        <v>95</v>
      </c>
      <c r="C37" s="20" t="s">
        <v>50</v>
      </c>
      <c r="D37" s="20" t="s">
        <v>209</v>
      </c>
      <c r="E37" s="20" t="s">
        <v>163</v>
      </c>
      <c r="F37" s="19"/>
    </row>
    <row r="38" spans="1:6" x14ac:dyDescent="0.2">
      <c r="A38" s="19"/>
      <c r="B38" s="24" t="s">
        <v>96</v>
      </c>
      <c r="C38" s="20" t="s">
        <v>17</v>
      </c>
      <c r="D38" s="20" t="s">
        <v>164</v>
      </c>
      <c r="E38" s="20" t="s">
        <v>164</v>
      </c>
      <c r="F38" s="19"/>
    </row>
    <row r="39" spans="1:6" x14ac:dyDescent="0.2">
      <c r="A39" s="19"/>
      <c r="B39" s="24" t="s">
        <v>97</v>
      </c>
      <c r="C39" s="20" t="s">
        <v>18</v>
      </c>
      <c r="D39" s="20" t="s">
        <v>165</v>
      </c>
      <c r="E39" s="20" t="s">
        <v>165</v>
      </c>
      <c r="F39" s="19"/>
    </row>
    <row r="40" spans="1:6" x14ac:dyDescent="0.2">
      <c r="A40" s="19"/>
      <c r="B40" s="24" t="s">
        <v>98</v>
      </c>
      <c r="C40" s="20" t="s">
        <v>52</v>
      </c>
      <c r="D40" s="20" t="s">
        <v>52</v>
      </c>
      <c r="E40" s="20" t="s">
        <v>166</v>
      </c>
      <c r="F40" s="19"/>
    </row>
    <row r="41" spans="1:6" x14ac:dyDescent="0.2">
      <c r="A41" s="19"/>
      <c r="B41" s="24" t="s">
        <v>99</v>
      </c>
      <c r="C41" s="20" t="s">
        <v>53</v>
      </c>
      <c r="D41" s="20" t="s">
        <v>208</v>
      </c>
      <c r="E41" s="20" t="s">
        <v>167</v>
      </c>
      <c r="F41" s="19"/>
    </row>
    <row r="42" spans="1:6" x14ac:dyDescent="0.2">
      <c r="A42" s="19"/>
      <c r="B42" s="24" t="s">
        <v>100</v>
      </c>
      <c r="C42" s="20" t="s">
        <v>51</v>
      </c>
      <c r="D42" s="20" t="s">
        <v>207</v>
      </c>
      <c r="E42" s="20" t="s">
        <v>168</v>
      </c>
      <c r="F42" s="19"/>
    </row>
    <row r="43" spans="1:6" x14ac:dyDescent="0.2">
      <c r="A43" s="19"/>
      <c r="B43" s="24" t="s">
        <v>101</v>
      </c>
      <c r="C43" s="20" t="s">
        <v>54</v>
      </c>
      <c r="D43" s="20" t="s">
        <v>169</v>
      </c>
      <c r="E43" s="20" t="s">
        <v>169</v>
      </c>
      <c r="F43" s="19"/>
    </row>
    <row r="44" spans="1:6" x14ac:dyDescent="0.2">
      <c r="A44" s="19"/>
      <c r="B44" s="24" t="s">
        <v>102</v>
      </c>
      <c r="C44" s="20" t="s">
        <v>55</v>
      </c>
      <c r="D44" s="20" t="s">
        <v>206</v>
      </c>
      <c r="E44" s="20" t="s">
        <v>170</v>
      </c>
      <c r="F44" s="19"/>
    </row>
    <row r="45" spans="1:6" x14ac:dyDescent="0.2">
      <c r="A45" s="19"/>
      <c r="B45" s="24" t="s">
        <v>103</v>
      </c>
      <c r="C45" s="20" t="s">
        <v>19</v>
      </c>
      <c r="D45" s="20" t="s">
        <v>171</v>
      </c>
      <c r="E45" s="20" t="s">
        <v>171</v>
      </c>
      <c r="F45" s="19"/>
    </row>
    <row r="46" spans="1:6" x14ac:dyDescent="0.2">
      <c r="A46" s="19"/>
      <c r="B46" s="19"/>
      <c r="C46" s="19"/>
      <c r="D46" s="19"/>
      <c r="E46" s="19"/>
      <c r="F46" s="19"/>
    </row>
    <row r="47" spans="1:6" ht="25.5" x14ac:dyDescent="0.2">
      <c r="A47" s="25"/>
      <c r="B47" s="24" t="s">
        <v>79</v>
      </c>
      <c r="C47" s="24" t="s">
        <v>307</v>
      </c>
      <c r="D47" s="24" t="s">
        <v>309</v>
      </c>
      <c r="E47" s="24" t="s">
        <v>308</v>
      </c>
      <c r="F47" s="19"/>
    </row>
    <row r="48" spans="1:6" x14ac:dyDescent="0.2">
      <c r="A48" s="19"/>
      <c r="B48" s="24" t="s">
        <v>80</v>
      </c>
      <c r="C48" s="42" t="s">
        <v>20</v>
      </c>
      <c r="D48" s="16" t="s">
        <v>333</v>
      </c>
      <c r="E48" s="16" t="s">
        <v>334</v>
      </c>
      <c r="F48" s="19"/>
    </row>
    <row r="49" spans="1:6" x14ac:dyDescent="0.2">
      <c r="A49" s="19"/>
      <c r="B49" s="24" t="s">
        <v>81</v>
      </c>
      <c r="C49" s="42" t="s">
        <v>21</v>
      </c>
      <c r="D49" s="16" t="s">
        <v>335</v>
      </c>
      <c r="E49" s="16" t="s">
        <v>336</v>
      </c>
      <c r="F49" s="19"/>
    </row>
    <row r="50" spans="1:6" x14ac:dyDescent="0.2">
      <c r="A50" s="19"/>
      <c r="B50" s="24" t="s">
        <v>82</v>
      </c>
      <c r="C50" s="42" t="s">
        <v>22</v>
      </c>
      <c r="D50" s="16" t="s">
        <v>337</v>
      </c>
      <c r="E50" s="16" t="s">
        <v>338</v>
      </c>
      <c r="F50" s="19"/>
    </row>
    <row r="51" spans="1:6" x14ac:dyDescent="0.2">
      <c r="A51" s="19"/>
      <c r="B51" s="24" t="s">
        <v>306</v>
      </c>
      <c r="C51" s="42" t="s">
        <v>23</v>
      </c>
      <c r="D51" s="16" t="s">
        <v>339</v>
      </c>
      <c r="E51" s="16" t="s">
        <v>340</v>
      </c>
      <c r="F51" s="19"/>
    </row>
    <row r="52" spans="1:6" x14ac:dyDescent="0.2">
      <c r="A52" s="19"/>
      <c r="B52" s="19"/>
      <c r="C52" s="19"/>
      <c r="D52" s="19"/>
      <c r="E52" s="19"/>
      <c r="F52" s="19"/>
    </row>
    <row r="53" spans="1:6" x14ac:dyDescent="0.2">
      <c r="A53" s="19" t="s">
        <v>105</v>
      </c>
      <c r="B53" s="24" t="s">
        <v>104</v>
      </c>
      <c r="C53" s="20" t="s">
        <v>47</v>
      </c>
      <c r="D53" s="20" t="s">
        <v>233</v>
      </c>
      <c r="E53" s="20" t="s">
        <v>146</v>
      </c>
      <c r="F53" s="19"/>
    </row>
    <row r="54" spans="1:6" x14ac:dyDescent="0.2">
      <c r="A54" s="19" t="s">
        <v>62</v>
      </c>
      <c r="B54" s="27" t="s">
        <v>83</v>
      </c>
      <c r="C54" s="23" t="s">
        <v>320</v>
      </c>
      <c r="D54" s="23" t="s">
        <v>321</v>
      </c>
      <c r="E54" s="23" t="s">
        <v>322</v>
      </c>
      <c r="F54" s="19"/>
    </row>
    <row r="55" spans="1:6" x14ac:dyDescent="0.2">
      <c r="A55" s="19"/>
      <c r="B55" s="19"/>
      <c r="C55" s="19"/>
      <c r="D55" s="19"/>
      <c r="E55" s="19"/>
      <c r="F55" s="19"/>
    </row>
    <row r="56" spans="1:6" x14ac:dyDescent="0.2">
      <c r="A56" s="25"/>
      <c r="B56" s="26"/>
      <c r="C56" s="19"/>
      <c r="D56" s="19"/>
      <c r="E56" s="19"/>
      <c r="F56" s="19"/>
    </row>
    <row r="57" spans="1:6" ht="25.5" x14ac:dyDescent="0.2">
      <c r="A57" s="25" t="s">
        <v>106</v>
      </c>
      <c r="B57" s="24" t="s">
        <v>107</v>
      </c>
      <c r="C57" s="21" t="s">
        <v>283</v>
      </c>
      <c r="D57" s="21" t="s">
        <v>284</v>
      </c>
      <c r="E57" s="21" t="s">
        <v>285</v>
      </c>
      <c r="F57" s="19"/>
    </row>
    <row r="58" spans="1:6" x14ac:dyDescent="0.2">
      <c r="A58" s="25"/>
      <c r="B58" s="24" t="s">
        <v>108</v>
      </c>
      <c r="C58" s="46" t="s">
        <v>257</v>
      </c>
      <c r="D58" s="46" t="s">
        <v>258</v>
      </c>
      <c r="E58" s="46" t="s">
        <v>259</v>
      </c>
      <c r="F58" s="19"/>
    </row>
    <row r="59" spans="1:6" x14ac:dyDescent="0.2">
      <c r="A59" s="25"/>
      <c r="B59" s="19"/>
      <c r="C59" s="19"/>
      <c r="D59" s="19"/>
      <c r="E59" s="19"/>
      <c r="F59" s="19"/>
    </row>
    <row r="60" spans="1:6" x14ac:dyDescent="0.2">
      <c r="A60" s="25" t="s">
        <v>106</v>
      </c>
      <c r="B60" s="24" t="s">
        <v>109</v>
      </c>
      <c r="C60" s="20" t="s">
        <v>0</v>
      </c>
      <c r="D60" s="20" t="s">
        <v>0</v>
      </c>
      <c r="E60" s="20" t="s">
        <v>144</v>
      </c>
      <c r="F60" s="19"/>
    </row>
    <row r="61" spans="1:6" x14ac:dyDescent="0.2">
      <c r="A61" s="19"/>
      <c r="B61" s="24" t="s">
        <v>110</v>
      </c>
      <c r="C61" s="20" t="s">
        <v>24</v>
      </c>
      <c r="D61" s="20" t="s">
        <v>212</v>
      </c>
      <c r="E61" s="20" t="s">
        <v>172</v>
      </c>
      <c r="F61" s="19"/>
    </row>
    <row r="62" spans="1:6" x14ac:dyDescent="0.2">
      <c r="A62" s="19"/>
      <c r="B62" s="24" t="s">
        <v>111</v>
      </c>
      <c r="C62" s="20" t="s">
        <v>27</v>
      </c>
      <c r="D62" s="28" t="s">
        <v>213</v>
      </c>
      <c r="E62" s="20" t="s">
        <v>173</v>
      </c>
      <c r="F62" s="19"/>
    </row>
    <row r="63" spans="1:6" x14ac:dyDescent="0.2">
      <c r="A63" s="19"/>
      <c r="B63" s="24" t="s">
        <v>112</v>
      </c>
      <c r="C63" s="20" t="s">
        <v>236</v>
      </c>
      <c r="D63" s="20" t="s">
        <v>237</v>
      </c>
      <c r="E63" s="20" t="s">
        <v>238</v>
      </c>
      <c r="F63" s="19"/>
    </row>
    <row r="64" spans="1:6" x14ac:dyDescent="0.2">
      <c r="A64" s="19"/>
      <c r="B64" s="24" t="s">
        <v>113</v>
      </c>
      <c r="C64" s="24" t="s">
        <v>286</v>
      </c>
      <c r="D64" s="24" t="s">
        <v>288</v>
      </c>
      <c r="E64" s="24" t="s">
        <v>287</v>
      </c>
      <c r="F64" s="19"/>
    </row>
    <row r="65" spans="1:6" x14ac:dyDescent="0.2">
      <c r="A65" s="19"/>
      <c r="B65" s="24" t="s">
        <v>114</v>
      </c>
      <c r="C65" s="20" t="s">
        <v>28</v>
      </c>
      <c r="D65" s="20" t="s">
        <v>214</v>
      </c>
      <c r="E65" s="20" t="s">
        <v>239</v>
      </c>
      <c r="F65" s="19"/>
    </row>
    <row r="66" spans="1:6" x14ac:dyDescent="0.2">
      <c r="A66" s="19"/>
      <c r="B66" s="24" t="s">
        <v>115</v>
      </c>
      <c r="C66" s="20" t="s">
        <v>32</v>
      </c>
      <c r="D66" s="20" t="s">
        <v>215</v>
      </c>
      <c r="E66" s="20" t="s">
        <v>240</v>
      </c>
      <c r="F66" s="19"/>
    </row>
    <row r="67" spans="1:6" x14ac:dyDescent="0.2">
      <c r="A67" s="19"/>
      <c r="B67" s="24" t="s">
        <v>129</v>
      </c>
      <c r="C67" s="20" t="s">
        <v>44</v>
      </c>
      <c r="D67" s="20" t="s">
        <v>216</v>
      </c>
      <c r="E67" s="20" t="s">
        <v>241</v>
      </c>
      <c r="F67" s="19"/>
    </row>
    <row r="68" spans="1:6" x14ac:dyDescent="0.2">
      <c r="A68" s="19"/>
      <c r="B68" s="19"/>
      <c r="C68" s="19"/>
      <c r="D68" s="19"/>
      <c r="E68" s="19"/>
      <c r="F68" s="19"/>
    </row>
    <row r="69" spans="1:6" x14ac:dyDescent="0.2">
      <c r="A69" s="19"/>
      <c r="B69" s="24" t="s">
        <v>118</v>
      </c>
      <c r="C69" s="20" t="s">
        <v>25</v>
      </c>
      <c r="D69" s="20" t="s">
        <v>210</v>
      </c>
      <c r="E69" s="20" t="s">
        <v>174</v>
      </c>
      <c r="F69" s="19"/>
    </row>
    <row r="70" spans="1:6" x14ac:dyDescent="0.2">
      <c r="A70" s="19"/>
      <c r="B70" s="24" t="s">
        <v>119</v>
      </c>
      <c r="C70" s="20" t="s">
        <v>26</v>
      </c>
      <c r="D70" s="20" t="s">
        <v>211</v>
      </c>
      <c r="E70" s="20" t="s">
        <v>175</v>
      </c>
      <c r="F70" s="19"/>
    </row>
    <row r="71" spans="1:6" x14ac:dyDescent="0.2">
      <c r="A71" s="19"/>
      <c r="B71" s="24" t="s">
        <v>120</v>
      </c>
      <c r="C71" s="20" t="s">
        <v>242</v>
      </c>
      <c r="D71" s="20" t="s">
        <v>242</v>
      </c>
      <c r="E71" s="20" t="s">
        <v>242</v>
      </c>
      <c r="F71" s="19"/>
    </row>
    <row r="72" spans="1:6" x14ac:dyDescent="0.2">
      <c r="A72" s="19"/>
      <c r="B72" s="24" t="s">
        <v>121</v>
      </c>
      <c r="C72" s="20" t="s">
        <v>290</v>
      </c>
      <c r="D72" s="20" t="s">
        <v>290</v>
      </c>
      <c r="E72" s="20" t="s">
        <v>290</v>
      </c>
      <c r="F72" s="19"/>
    </row>
    <row r="73" spans="1:6" x14ac:dyDescent="0.2">
      <c r="A73" s="19"/>
      <c r="B73" s="24" t="s">
        <v>130</v>
      </c>
      <c r="C73" s="20" t="s">
        <v>289</v>
      </c>
      <c r="D73" s="20" t="s">
        <v>289</v>
      </c>
      <c r="E73" s="20" t="s">
        <v>289</v>
      </c>
      <c r="F73" s="19"/>
    </row>
    <row r="74" spans="1:6" x14ac:dyDescent="0.2">
      <c r="A74" s="19"/>
      <c r="B74" s="24" t="s">
        <v>131</v>
      </c>
      <c r="C74" s="20" t="s">
        <v>243</v>
      </c>
      <c r="D74" s="20" t="s">
        <v>244</v>
      </c>
      <c r="E74" s="20" t="s">
        <v>245</v>
      </c>
      <c r="F74" s="19"/>
    </row>
    <row r="75" spans="1:6" x14ac:dyDescent="0.2">
      <c r="A75" s="19"/>
      <c r="B75" s="24" t="s">
        <v>122</v>
      </c>
      <c r="C75" s="20" t="s">
        <v>248</v>
      </c>
      <c r="D75" s="20" t="s">
        <v>247</v>
      </c>
      <c r="E75" s="20" t="s">
        <v>246</v>
      </c>
      <c r="F75" s="19"/>
    </row>
    <row r="76" spans="1:6" x14ac:dyDescent="0.2">
      <c r="A76" s="19"/>
      <c r="B76" s="24" t="s">
        <v>123</v>
      </c>
      <c r="C76" s="20" t="s">
        <v>293</v>
      </c>
      <c r="D76" s="20" t="s">
        <v>298</v>
      </c>
      <c r="E76" s="20" t="s">
        <v>302</v>
      </c>
      <c r="F76" s="19"/>
    </row>
    <row r="77" spans="1:6" x14ac:dyDescent="0.2">
      <c r="A77" s="19"/>
      <c r="B77" s="24" t="s">
        <v>291</v>
      </c>
      <c r="C77" s="20" t="s">
        <v>294</v>
      </c>
      <c r="D77" s="20" t="s">
        <v>299</v>
      </c>
      <c r="E77" s="20" t="s">
        <v>303</v>
      </c>
      <c r="F77" s="19"/>
    </row>
    <row r="78" spans="1:6" x14ac:dyDescent="0.2">
      <c r="A78" s="19"/>
      <c r="B78" s="24" t="s">
        <v>292</v>
      </c>
      <c r="C78" s="20" t="s">
        <v>295</v>
      </c>
      <c r="D78" s="20" t="s">
        <v>300</v>
      </c>
      <c r="E78" s="20" t="s">
        <v>304</v>
      </c>
      <c r="F78" s="19"/>
    </row>
    <row r="79" spans="1:6" x14ac:dyDescent="0.2">
      <c r="A79" s="19"/>
      <c r="B79" s="24" t="s">
        <v>297</v>
      </c>
      <c r="C79" s="20" t="s">
        <v>296</v>
      </c>
      <c r="D79" s="20" t="s">
        <v>301</v>
      </c>
      <c r="E79" s="20" t="s">
        <v>305</v>
      </c>
      <c r="F79" s="19"/>
    </row>
    <row r="80" spans="1:6" x14ac:dyDescent="0.2">
      <c r="A80" s="19"/>
      <c r="B80" s="24" t="s">
        <v>124</v>
      </c>
      <c r="C80" s="20" t="s">
        <v>315</v>
      </c>
      <c r="D80" s="20" t="s">
        <v>323</v>
      </c>
      <c r="E80" s="20" t="s">
        <v>324</v>
      </c>
      <c r="F80" s="19"/>
    </row>
    <row r="81" spans="1:6" x14ac:dyDescent="0.2">
      <c r="A81" s="19"/>
      <c r="B81" s="24" t="s">
        <v>125</v>
      </c>
      <c r="C81" s="20" t="s">
        <v>316</v>
      </c>
      <c r="D81" s="20" t="s">
        <v>325</v>
      </c>
      <c r="E81" s="20" t="s">
        <v>326</v>
      </c>
      <c r="F81" s="19"/>
    </row>
    <row r="82" spans="1:6" x14ac:dyDescent="0.2">
      <c r="A82" s="19"/>
      <c r="B82" s="24" t="s">
        <v>249</v>
      </c>
      <c r="C82" s="20" t="s">
        <v>317</v>
      </c>
      <c r="D82" s="20" t="s">
        <v>327</v>
      </c>
      <c r="E82" s="20" t="s">
        <v>328</v>
      </c>
      <c r="F82" s="19"/>
    </row>
    <row r="83" spans="1:6" ht="25.5" x14ac:dyDescent="0.2">
      <c r="A83" s="19"/>
      <c r="B83" s="24" t="s">
        <v>313</v>
      </c>
      <c r="C83" s="20" t="s">
        <v>318</v>
      </c>
      <c r="D83" s="20" t="s">
        <v>329</v>
      </c>
      <c r="E83" s="20" t="s">
        <v>330</v>
      </c>
      <c r="F83" s="19"/>
    </row>
    <row r="84" spans="1:6" x14ac:dyDescent="0.2">
      <c r="A84" s="19"/>
      <c r="B84" s="24" t="s">
        <v>314</v>
      </c>
      <c r="C84" s="20" t="s">
        <v>319</v>
      </c>
      <c r="D84" s="20" t="s">
        <v>331</v>
      </c>
      <c r="E84" s="20" t="s">
        <v>332</v>
      </c>
      <c r="F84" s="19"/>
    </row>
    <row r="85" spans="1:6" x14ac:dyDescent="0.2">
      <c r="A85" s="19"/>
      <c r="B85" s="24" t="s">
        <v>312</v>
      </c>
      <c r="C85" s="20" t="s">
        <v>29</v>
      </c>
      <c r="D85" s="20" t="s">
        <v>231</v>
      </c>
      <c r="E85" s="20" t="s">
        <v>176</v>
      </c>
      <c r="F85" s="19"/>
    </row>
    <row r="86" spans="1:6" x14ac:dyDescent="0.2">
      <c r="A86" s="19"/>
      <c r="B86" s="24" t="s">
        <v>311</v>
      </c>
      <c r="C86" s="20" t="s">
        <v>30</v>
      </c>
      <c r="D86" s="20" t="s">
        <v>230</v>
      </c>
      <c r="E86" s="20" t="s">
        <v>177</v>
      </c>
      <c r="F86" s="19"/>
    </row>
    <row r="87" spans="1:6" x14ac:dyDescent="0.2">
      <c r="A87" s="19"/>
      <c r="B87" s="24" t="s">
        <v>310</v>
      </c>
      <c r="C87" s="20" t="s">
        <v>31</v>
      </c>
      <c r="D87" s="20" t="s">
        <v>230</v>
      </c>
      <c r="E87" s="20" t="s">
        <v>178</v>
      </c>
      <c r="F87" s="19"/>
    </row>
    <row r="88" spans="1:6" x14ac:dyDescent="0.2">
      <c r="A88" s="19"/>
      <c r="B88" s="24" t="s">
        <v>126</v>
      </c>
      <c r="C88" s="20" t="s">
        <v>33</v>
      </c>
      <c r="D88" s="20" t="s">
        <v>229</v>
      </c>
      <c r="E88" s="20" t="s">
        <v>179</v>
      </c>
      <c r="F88" s="19"/>
    </row>
    <row r="89" spans="1:6" x14ac:dyDescent="0.2">
      <c r="A89" s="19"/>
      <c r="B89" s="24" t="s">
        <v>127</v>
      </c>
      <c r="C89" s="20" t="s">
        <v>34</v>
      </c>
      <c r="D89" s="20" t="s">
        <v>217</v>
      </c>
      <c r="E89" s="20" t="s">
        <v>180</v>
      </c>
      <c r="F89" s="19"/>
    </row>
    <row r="90" spans="1:6" x14ac:dyDescent="0.2">
      <c r="A90" s="19"/>
      <c r="B90" s="24" t="s">
        <v>128</v>
      </c>
      <c r="C90" s="20" t="s">
        <v>35</v>
      </c>
      <c r="D90" s="20" t="s">
        <v>218</v>
      </c>
      <c r="E90" s="20" t="s">
        <v>181</v>
      </c>
      <c r="F90" s="19"/>
    </row>
    <row r="91" spans="1:6" x14ac:dyDescent="0.2">
      <c r="A91" s="19"/>
      <c r="B91" s="24" t="s">
        <v>132</v>
      </c>
      <c r="C91" s="20" t="s">
        <v>36</v>
      </c>
      <c r="D91" s="20" t="s">
        <v>219</v>
      </c>
      <c r="E91" s="20" t="s">
        <v>182</v>
      </c>
      <c r="F91" s="19"/>
    </row>
    <row r="92" spans="1:6" x14ac:dyDescent="0.2">
      <c r="A92" s="19"/>
      <c r="B92" s="24" t="s">
        <v>133</v>
      </c>
      <c r="C92" s="20" t="s">
        <v>37</v>
      </c>
      <c r="D92" s="20" t="s">
        <v>220</v>
      </c>
      <c r="E92" s="20" t="s">
        <v>183</v>
      </c>
      <c r="F92" s="19"/>
    </row>
    <row r="93" spans="1:6" x14ac:dyDescent="0.2">
      <c r="A93" s="19"/>
      <c r="B93" s="24" t="s">
        <v>134</v>
      </c>
      <c r="C93" s="20" t="s">
        <v>38</v>
      </c>
      <c r="D93" s="20" t="s">
        <v>221</v>
      </c>
      <c r="E93" s="20" t="s">
        <v>184</v>
      </c>
      <c r="F93" s="19"/>
    </row>
    <row r="94" spans="1:6" x14ac:dyDescent="0.2">
      <c r="A94" s="19"/>
      <c r="B94" s="24" t="s">
        <v>135</v>
      </c>
      <c r="C94" s="20" t="s">
        <v>39</v>
      </c>
      <c r="D94" s="20" t="s">
        <v>222</v>
      </c>
      <c r="E94" s="20" t="s">
        <v>185</v>
      </c>
      <c r="F94" s="19"/>
    </row>
    <row r="95" spans="1:6" x14ac:dyDescent="0.2">
      <c r="A95" s="19"/>
      <c r="B95" s="24" t="s">
        <v>136</v>
      </c>
      <c r="C95" s="20" t="s">
        <v>40</v>
      </c>
      <c r="D95" s="20" t="s">
        <v>223</v>
      </c>
      <c r="E95" s="20" t="s">
        <v>186</v>
      </c>
      <c r="F95" s="19"/>
    </row>
    <row r="96" spans="1:6" ht="25.5" x14ac:dyDescent="0.2">
      <c r="A96" s="19"/>
      <c r="B96" s="24" t="s">
        <v>137</v>
      </c>
      <c r="C96" s="20" t="s">
        <v>41</v>
      </c>
      <c r="D96" s="20" t="s">
        <v>224</v>
      </c>
      <c r="E96" s="20" t="s">
        <v>187</v>
      </c>
      <c r="F96" s="19"/>
    </row>
    <row r="97" spans="1:6" ht="38.25" x14ac:dyDescent="0.2">
      <c r="A97" s="19"/>
      <c r="B97" s="24" t="s">
        <v>138</v>
      </c>
      <c r="C97" s="20" t="s">
        <v>42</v>
      </c>
      <c r="D97" s="20" t="s">
        <v>225</v>
      </c>
      <c r="E97" s="20" t="s">
        <v>188</v>
      </c>
      <c r="F97" s="19"/>
    </row>
    <row r="98" spans="1:6" ht="25.5" x14ac:dyDescent="0.2">
      <c r="A98" s="19"/>
      <c r="B98" s="24" t="s">
        <v>139</v>
      </c>
      <c r="C98" s="20" t="s">
        <v>43</v>
      </c>
      <c r="D98" s="20" t="s">
        <v>226</v>
      </c>
      <c r="E98" s="20" t="s">
        <v>189</v>
      </c>
      <c r="F98" s="19"/>
    </row>
    <row r="99" spans="1:6" x14ac:dyDescent="0.2">
      <c r="A99" s="19"/>
      <c r="B99" s="24" t="s">
        <v>140</v>
      </c>
      <c r="C99" s="20" t="s">
        <v>250</v>
      </c>
      <c r="D99" s="20" t="s">
        <v>251</v>
      </c>
      <c r="E99" s="20" t="s">
        <v>190</v>
      </c>
      <c r="F99" s="19"/>
    </row>
    <row r="100" spans="1:6" x14ac:dyDescent="0.2">
      <c r="A100" s="19"/>
      <c r="B100" s="24" t="s">
        <v>141</v>
      </c>
      <c r="C100" s="20" t="s">
        <v>45</v>
      </c>
      <c r="D100" s="20" t="s">
        <v>227</v>
      </c>
      <c r="E100" s="20" t="s">
        <v>191</v>
      </c>
      <c r="F100" s="19"/>
    </row>
    <row r="101" spans="1:6" x14ac:dyDescent="0.2">
      <c r="A101" s="19"/>
      <c r="B101" s="24" t="s">
        <v>142</v>
      </c>
      <c r="C101" s="20" t="s">
        <v>46</v>
      </c>
      <c r="D101" s="20" t="s">
        <v>228</v>
      </c>
      <c r="E101" s="20" t="s">
        <v>192</v>
      </c>
      <c r="F101" s="19"/>
    </row>
    <row r="102" spans="1:6" x14ac:dyDescent="0.2">
      <c r="A102" s="19"/>
      <c r="B102" s="19"/>
      <c r="C102" s="19"/>
      <c r="D102" s="19"/>
      <c r="E102" s="19"/>
      <c r="F102" s="19"/>
    </row>
    <row r="103" spans="1:6" x14ac:dyDescent="0.2">
      <c r="A103" s="19" t="s">
        <v>106</v>
      </c>
      <c r="B103" s="27" t="s">
        <v>143</v>
      </c>
      <c r="C103" s="23" t="s">
        <v>320</v>
      </c>
      <c r="D103" s="23" t="s">
        <v>321</v>
      </c>
      <c r="E103" s="23" t="s">
        <v>322</v>
      </c>
      <c r="F103" s="19"/>
    </row>
    <row r="104" spans="1:6" x14ac:dyDescent="0.2">
      <c r="A104" s="19"/>
      <c r="B104" s="19"/>
      <c r="C104" s="19"/>
      <c r="D104" s="19"/>
      <c r="E104" s="19"/>
      <c r="F104" s="19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A83D2D9087C0499BBDDADFE9564913" ma:contentTypeVersion="6" ma:contentTypeDescription="Ein neues Dokument erstellen." ma:contentTypeScope="" ma:versionID="1f3af7de7f4500b720d1e69b73bf35ac">
  <xsd:schema xmlns:xsd="http://www.w3.org/2001/XMLSchema" xmlns:xs="http://www.w3.org/2001/XMLSchema" xmlns:p="http://schemas.microsoft.com/office/2006/metadata/properties" xmlns:ns1="http://schemas.microsoft.com/sharepoint/v3" xmlns:ns2="9d1f6504-c754-4527-a358-047ce8521f96" targetNamespace="http://schemas.microsoft.com/office/2006/metadata/properties" ma:root="true" ma:fieldsID="c79055d5800c49357077d70b127ffa6c" ns1:_="" ns2:_="">
    <xsd:import namespace="http://schemas.microsoft.com/sharepoint/v3"/>
    <xsd:import namespace="9d1f6504-c754-4527-a358-047ce8521f9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Kategorie" minOccurs="0"/>
                <xsd:element ref="ns2:Benutzerdefinierte_x0020_ID" minOccurs="0"/>
                <xsd:element ref="ns2:Titel_DE" minOccurs="0"/>
                <xsd:element ref="ns2:Titel_RM" minOccurs="0"/>
                <xsd:element ref="ns2:Titel_I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f6504-c754-4527-a358-047ce8521f96" elementFormDefault="qualified">
    <xsd:import namespace="http://schemas.microsoft.com/office/2006/documentManagement/types"/>
    <xsd:import namespace="http://schemas.microsoft.com/office/infopath/2007/PartnerControls"/>
    <xsd:element name="Kategorie" ma:index="10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1" nillable="true" ma:displayName="Benutzerdefinierte ID" ma:internalName="Benutzerdefinierte_x0020_ID" ma:percentage="FALSE">
      <xsd:simpleType>
        <xsd:restriction base="dms:Number"/>
      </xsd:simpleType>
    </xsd:element>
    <xsd:element name="Titel_DE" ma:index="12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3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4" nillable="true" ma:displayName="Titel_IT" ma:internalName="Titel_I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nutzerdefinierte_x0020_ID xmlns="9d1f6504-c754-4527-a358-047ce8521f96">1025</Benutzerdefinierte_x0020_ID>
    <Titel_RM xmlns="9d1f6504-c754-4527-a358-047ce8521f96">Enquista da structura da la populaziun – linguas principalas, 2022</Titel_RM>
    <Titel_DE xmlns="9d1f6504-c754-4527-a358-047ce8521f96">Strukturerhebung Bevölkerung - Hauptsprachen, 2022</Titel_DE>
    <PublishingExpirationDate xmlns="http://schemas.microsoft.com/sharepoint/v3" xsi:nil="true"/>
    <Kategorie xmlns="9d1f6504-c754-4527-a358-047ce8521f96">Sprache, Religion</Kategorie>
    <PublishingStartDate xmlns="http://schemas.microsoft.com/sharepoint/v3" xsi:nil="true"/>
    <Titel_IT xmlns="9d1f6504-c754-4527-a358-047ce8521f96">Rilevazione strutturale della popolazione - lingue principali, 2022</Titel_IT>
  </documentManagement>
</p:properties>
</file>

<file path=customXml/itemProps1.xml><?xml version="1.0" encoding="utf-8"?>
<ds:datastoreItem xmlns:ds="http://schemas.openxmlformats.org/officeDocument/2006/customXml" ds:itemID="{48F4CE8E-8AE0-411E-8FFE-2B6E60324310}"/>
</file>

<file path=customXml/itemProps2.xml><?xml version="1.0" encoding="utf-8"?>
<ds:datastoreItem xmlns:ds="http://schemas.openxmlformats.org/officeDocument/2006/customXml" ds:itemID="{2809BDBF-10D2-473A-B754-285C7DDCDF77}"/>
</file>

<file path=customXml/itemProps3.xml><?xml version="1.0" encoding="utf-8"?>
<ds:datastoreItem xmlns:ds="http://schemas.openxmlformats.org/officeDocument/2006/customXml" ds:itemID="{7B84AA2F-5592-45C0-921F-5E3E299DD0F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Kantone</vt:lpstr>
      <vt:lpstr>Graubünden</vt:lpstr>
      <vt:lpstr>Uebersetzungen</vt:lpstr>
      <vt:lpstr>Graubünden!Druckbereich</vt:lpstr>
      <vt:lpstr>Kantone!Druckbereich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Bevölkerung nach Hauptsprache</dc:title>
  <dc:creator>Luzius.Stricker@awt.gr.ch</dc:creator>
  <cp:lastModifiedBy>Stricker Luzius</cp:lastModifiedBy>
  <cp:lastPrinted>2018-12-06T18:35:59Z</cp:lastPrinted>
  <dcterms:created xsi:type="dcterms:W3CDTF">2012-06-17T15:40:31Z</dcterms:created>
  <dcterms:modified xsi:type="dcterms:W3CDTF">2024-03-28T09:58:18Z</dcterms:modified>
  <cp:category>SE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0x01010095A83D2D9087C0499BBDDADFE9564913</vt:lpwstr>
  </property>
</Properties>
</file>